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JOV\INFO\VATTENSTÅND\"/>
    </mc:Choice>
  </mc:AlternateContent>
  <bookViews>
    <workbookView xWindow="0" yWindow="0" windowWidth="23040" windowHeight="9195" tabRatio="511"/>
  </bookViews>
  <sheets>
    <sheet name="STATIONSLISTA" sheetId="1" r:id="rId1"/>
    <sheet name="FÖRKLARING" sheetId="2" r:id="rId2"/>
  </sheets>
  <definedNames>
    <definedName name="_xlnm._FilterDatabase" localSheetId="0" hidden="1">STATIONSLISTA!$A$1:$BE$1405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7" i="1" l="1"/>
  <c r="E1077" i="1"/>
  <c r="F575" i="1" l="1"/>
  <c r="E575" i="1"/>
  <c r="F121" i="1" l="1"/>
  <c r="E121" i="1"/>
  <c r="F772" i="1"/>
  <c r="E772" i="1"/>
  <c r="F307" i="1"/>
  <c r="E307" i="1"/>
  <c r="F1247" i="1"/>
  <c r="E1247" i="1"/>
  <c r="F1369" i="1"/>
  <c r="E1369" i="1"/>
  <c r="F1321" i="1"/>
  <c r="E1321" i="1"/>
  <c r="F191" i="1"/>
  <c r="E191" i="1"/>
  <c r="F373" i="1"/>
  <c r="E373" i="1"/>
  <c r="F431" i="1"/>
  <c r="E431" i="1"/>
  <c r="F758" i="1"/>
  <c r="E758" i="1"/>
  <c r="F1400" i="1"/>
  <c r="E1400" i="1"/>
  <c r="F545" i="1"/>
  <c r="E545" i="1"/>
  <c r="F1023" i="1"/>
  <c r="E1023" i="1"/>
  <c r="F1345" i="1"/>
  <c r="E1345" i="1"/>
  <c r="F1193" i="1"/>
  <c r="E1193" i="1"/>
  <c r="F924" i="1"/>
  <c r="E924" i="1"/>
  <c r="F853" i="1"/>
  <c r="E853" i="1"/>
  <c r="F729" i="1"/>
  <c r="E729" i="1"/>
  <c r="F715" i="1"/>
  <c r="E715" i="1"/>
  <c r="F531" i="1"/>
  <c r="E531" i="1"/>
  <c r="F521" i="1"/>
  <c r="E521" i="1"/>
  <c r="F478" i="1"/>
  <c r="E478" i="1"/>
  <c r="F270" i="1"/>
  <c r="E270" i="1"/>
  <c r="F164" i="1"/>
  <c r="E164" i="1"/>
  <c r="F97" i="1"/>
  <c r="E97" i="1"/>
  <c r="F1349" i="1"/>
  <c r="E1349" i="1"/>
  <c r="F520" i="1"/>
  <c r="E520" i="1"/>
  <c r="F116" i="1" l="1"/>
  <c r="E116" i="1"/>
  <c r="F112" i="1"/>
  <c r="E112" i="1"/>
  <c r="E617" i="1" l="1"/>
  <c r="F617" i="1"/>
  <c r="F926" i="1"/>
  <c r="E926" i="1"/>
  <c r="F559" i="1" l="1"/>
  <c r="E559" i="1"/>
  <c r="F560" i="1"/>
  <c r="E560" i="1"/>
  <c r="F912" i="1"/>
  <c r="E912" i="1"/>
  <c r="F911" i="1"/>
  <c r="E911" i="1"/>
  <c r="F279" i="1"/>
  <c r="E279" i="1"/>
  <c r="F269" i="1"/>
  <c r="E269" i="1"/>
  <c r="F73" i="1" l="1"/>
  <c r="E73" i="1"/>
  <c r="F75" i="1"/>
  <c r="E75" i="1"/>
  <c r="F49" i="1"/>
  <c r="E49" i="1"/>
  <c r="F50" i="1"/>
  <c r="E50" i="1"/>
  <c r="F51" i="1"/>
  <c r="E51" i="1"/>
  <c r="F34" i="1"/>
  <c r="E34" i="1"/>
  <c r="F33" i="1"/>
  <c r="E33" i="1"/>
  <c r="F23" i="1"/>
  <c r="E23" i="1"/>
  <c r="F22" i="1"/>
  <c r="E22" i="1"/>
  <c r="F29" i="1"/>
  <c r="E29" i="1"/>
  <c r="F96" i="1"/>
  <c r="E96" i="1" l="1"/>
  <c r="F109" i="1"/>
  <c r="E109" i="1"/>
  <c r="F108" i="1"/>
  <c r="E108" i="1"/>
  <c r="F126" i="1"/>
  <c r="E126" i="1"/>
  <c r="G181" i="1"/>
  <c r="G180" i="1"/>
  <c r="F212" i="1"/>
  <c r="E212" i="1"/>
  <c r="F928" i="1"/>
  <c r="F929" i="1"/>
  <c r="E929" i="1"/>
  <c r="E928" i="1"/>
  <c r="F947" i="1"/>
  <c r="E947" i="1"/>
  <c r="F946" i="1"/>
  <c r="E946" i="1"/>
  <c r="F944" i="1"/>
  <c r="E944" i="1"/>
  <c r="F943" i="1"/>
  <c r="E943" i="1"/>
  <c r="F938" i="1"/>
  <c r="E938" i="1"/>
  <c r="F937" i="1"/>
  <c r="E937" i="1"/>
  <c r="F1001" i="1"/>
  <c r="E1001" i="1"/>
  <c r="F1000" i="1"/>
  <c r="E1000" i="1"/>
  <c r="F974" i="1"/>
  <c r="E974" i="1"/>
  <c r="F973" i="1"/>
  <c r="E973" i="1"/>
  <c r="F975" i="1"/>
  <c r="E975" i="1"/>
  <c r="F970" i="1"/>
  <c r="E970" i="1"/>
  <c r="F969" i="1"/>
  <c r="E969" i="1"/>
  <c r="F965" i="1"/>
  <c r="E965" i="1"/>
  <c r="F964" i="1"/>
  <c r="E964" i="1"/>
  <c r="F961" i="1"/>
  <c r="E961" i="1"/>
  <c r="F960" i="1"/>
  <c r="E960" i="1"/>
  <c r="F1060" i="1"/>
  <c r="E1060" i="1"/>
  <c r="F1052" i="1"/>
  <c r="E1052" i="1"/>
  <c r="F1051" i="1"/>
  <c r="E1051" i="1"/>
  <c r="F1047" i="1"/>
  <c r="E1047" i="1"/>
  <c r="F1049" i="1"/>
  <c r="E1049" i="1"/>
  <c r="F1082" i="1"/>
  <c r="E1082" i="1"/>
  <c r="F1098" i="1"/>
  <c r="E1098" i="1"/>
  <c r="F1097" i="1"/>
  <c r="E1097" i="1"/>
  <c r="F1091" i="1"/>
  <c r="E1091" i="1"/>
  <c r="F1090" i="1"/>
  <c r="E1090" i="1"/>
  <c r="F1115" i="1"/>
  <c r="E1115" i="1"/>
  <c r="F1199" i="1"/>
  <c r="E1199" i="1"/>
  <c r="F1180" i="1"/>
  <c r="E1180" i="1"/>
  <c r="F1179" i="1"/>
  <c r="E1179" i="1"/>
  <c r="F1164" i="1"/>
  <c r="E1164" i="1"/>
  <c r="F1160" i="1"/>
  <c r="E1160" i="1"/>
  <c r="F1156" i="1"/>
  <c r="E1156" i="1"/>
  <c r="F1184" i="1"/>
  <c r="E1184" i="1"/>
  <c r="F1183" i="1"/>
  <c r="E1183" i="1"/>
  <c r="F1188" i="1"/>
  <c r="E1188" i="1"/>
  <c r="F1187" i="1"/>
  <c r="E1187" i="1"/>
  <c r="F1241" i="1"/>
  <c r="E1241" i="1"/>
  <c r="F1230" i="1"/>
  <c r="E1230" i="1"/>
  <c r="F1229" i="1"/>
  <c r="E1229" i="1"/>
  <c r="F1216" i="1"/>
  <c r="E1216" i="1"/>
  <c r="F1206" i="1"/>
  <c r="E1206" i="1"/>
  <c r="F1261" i="1"/>
  <c r="E1261" i="1"/>
  <c r="F1266" i="1"/>
  <c r="E1266" i="1"/>
  <c r="F1265" i="1"/>
  <c r="E1265" i="1"/>
  <c r="F1307" i="1"/>
  <c r="E1307" i="1"/>
  <c r="F1329" i="1"/>
  <c r="E1329" i="1"/>
  <c r="F1341" i="1"/>
  <c r="E1341" i="1"/>
  <c r="F1340" i="1"/>
  <c r="E1340" i="1"/>
  <c r="F1333" i="1"/>
  <c r="E1333" i="1"/>
  <c r="F1332" i="1"/>
  <c r="E1332" i="1"/>
  <c r="F1328" i="1"/>
  <c r="E1328" i="1"/>
  <c r="F1384" i="1"/>
  <c r="E1384" i="1"/>
  <c r="F1368" i="1"/>
  <c r="E1368" i="1"/>
  <c r="F1303" i="1"/>
  <c r="E1303" i="1"/>
  <c r="F1302" i="1"/>
  <c r="E1302" i="1"/>
  <c r="F802" i="1"/>
  <c r="E802" i="1"/>
  <c r="F801" i="1"/>
  <c r="E801" i="1"/>
  <c r="F783" i="1"/>
  <c r="E783" i="1"/>
  <c r="F782" i="1"/>
  <c r="E782" i="1"/>
  <c r="F605" i="1"/>
  <c r="E605" i="1"/>
  <c r="F606" i="1"/>
  <c r="E606" i="1"/>
  <c r="F596" i="1"/>
  <c r="E596" i="1"/>
  <c r="F500" i="1"/>
  <c r="E500" i="1"/>
  <c r="F494" i="1"/>
  <c r="E494" i="1"/>
  <c r="F491" i="1"/>
  <c r="E491" i="1"/>
  <c r="F439" i="1"/>
  <c r="E439" i="1"/>
  <c r="F438" i="1"/>
  <c r="E438" i="1"/>
  <c r="F424" i="1"/>
  <c r="E424" i="1"/>
  <c r="F423" i="1"/>
  <c r="E423" i="1"/>
  <c r="F990" i="1"/>
  <c r="E990" i="1"/>
  <c r="F989" i="1"/>
  <c r="E989" i="1"/>
  <c r="F707" i="1"/>
  <c r="E707" i="1"/>
  <c r="F706" i="1"/>
  <c r="E706" i="1"/>
  <c r="F703" i="1"/>
  <c r="E703" i="1"/>
  <c r="F702" i="1"/>
  <c r="E702" i="1"/>
  <c r="F679" i="1"/>
  <c r="E679" i="1"/>
  <c r="F678" i="1"/>
  <c r="E678" i="1"/>
  <c r="F686" i="1"/>
  <c r="E686" i="1"/>
  <c r="F688" i="1"/>
  <c r="E688" i="1"/>
  <c r="F501" i="1"/>
  <c r="E501" i="1"/>
  <c r="F92" i="1"/>
  <c r="E92" i="1"/>
  <c r="F90" i="1"/>
  <c r="E90" i="1"/>
  <c r="F91" i="1"/>
  <c r="E91" i="1"/>
  <c r="F113" i="1"/>
  <c r="E113" i="1"/>
  <c r="F1068" i="1"/>
  <c r="E1068" i="1"/>
  <c r="F1069" i="1"/>
  <c r="E1069" i="1"/>
  <c r="F1034" i="1"/>
  <c r="E1034" i="1"/>
  <c r="F1033" i="1"/>
  <c r="E1033" i="1"/>
  <c r="F983" i="1"/>
  <c r="E983" i="1"/>
  <c r="F982" i="1"/>
  <c r="E982" i="1"/>
  <c r="F895" i="1" l="1"/>
  <c r="E895" i="1"/>
  <c r="F896" i="1"/>
  <c r="E896" i="1"/>
  <c r="F910" i="1"/>
  <c r="E910" i="1"/>
  <c r="F859" i="1" l="1"/>
  <c r="E859" i="1"/>
  <c r="F858" i="1"/>
  <c r="E858" i="1"/>
  <c r="F845" i="1"/>
  <c r="E845" i="1"/>
  <c r="F844" i="1"/>
  <c r="E844" i="1"/>
  <c r="F836" i="1"/>
  <c r="E836" i="1"/>
  <c r="F835" i="1"/>
  <c r="E835" i="1"/>
  <c r="F834" i="1"/>
  <c r="E834" i="1"/>
  <c r="F828" i="1"/>
  <c r="E828" i="1"/>
  <c r="F823" i="1"/>
  <c r="E823" i="1"/>
  <c r="F822" i="1"/>
  <c r="E822" i="1"/>
  <c r="F794" i="1"/>
  <c r="E794" i="1"/>
  <c r="F793" i="1"/>
  <c r="E793" i="1"/>
  <c r="F817" i="1"/>
  <c r="E817" i="1"/>
  <c r="F816" i="1"/>
  <c r="E816" i="1"/>
  <c r="F765" i="1"/>
  <c r="E765" i="1"/>
  <c r="F763" i="1"/>
  <c r="E763" i="1"/>
  <c r="F766" i="1"/>
  <c r="E766" i="1"/>
  <c r="F764" i="1"/>
  <c r="E764" i="1"/>
  <c r="F748" i="1"/>
  <c r="F747" i="1"/>
  <c r="E747" i="1"/>
  <c r="F734" i="1"/>
  <c r="F733" i="1"/>
  <c r="E733" i="1"/>
  <c r="E734" i="1"/>
  <c r="F692" i="1"/>
  <c r="E692" i="1"/>
  <c r="F691" i="1"/>
  <c r="E691" i="1"/>
  <c r="F696" i="1"/>
  <c r="E696" i="1"/>
  <c r="F695" i="1"/>
  <c r="E695" i="1"/>
  <c r="F668" i="1"/>
  <c r="E668" i="1"/>
  <c r="E622" i="1"/>
  <c r="F602" i="1"/>
  <c r="E602" i="1"/>
  <c r="F548" i="1"/>
  <c r="E548" i="1"/>
  <c r="F564" i="1"/>
  <c r="E564" i="1"/>
  <c r="F563" i="1"/>
  <c r="E563" i="1"/>
  <c r="F554" i="1"/>
  <c r="E554" i="1"/>
  <c r="F553" i="1"/>
  <c r="E553" i="1"/>
  <c r="F512" i="1"/>
  <c r="E512" i="1"/>
  <c r="F511" i="1"/>
  <c r="E511" i="1"/>
  <c r="F486" i="1"/>
  <c r="E486" i="1"/>
  <c r="F488" i="1"/>
  <c r="E488" i="1"/>
  <c r="F474" i="1"/>
  <c r="E474" i="1"/>
  <c r="F464" i="1"/>
  <c r="E464" i="1"/>
  <c r="F455" i="1"/>
  <c r="E455" i="1"/>
  <c r="F446" i="1"/>
  <c r="E446" i="1"/>
  <c r="F442" i="1"/>
  <c r="E442" i="1"/>
  <c r="F174" i="1"/>
  <c r="E174" i="1"/>
  <c r="F173" i="1"/>
  <c r="E173" i="1"/>
  <c r="F418" i="1"/>
  <c r="E418" i="1"/>
  <c r="F394" i="1"/>
  <c r="E394" i="1"/>
  <c r="F386" i="1"/>
  <c r="E386" i="1"/>
  <c r="F408" i="1"/>
  <c r="E408" i="1"/>
  <c r="F349" i="1"/>
  <c r="E349" i="1"/>
  <c r="F333" i="1"/>
  <c r="E333" i="1"/>
  <c r="F290" i="1" l="1"/>
  <c r="E290" i="1"/>
  <c r="F117" i="1"/>
  <c r="E117" i="1"/>
  <c r="F261" i="1"/>
  <c r="E261" i="1"/>
  <c r="F250" i="1"/>
  <c r="E250" i="1"/>
  <c r="F236" i="1"/>
  <c r="E236" i="1"/>
  <c r="F232" i="1"/>
  <c r="E232" i="1"/>
  <c r="F149" i="1"/>
  <c r="E149" i="1"/>
  <c r="F105" i="1"/>
  <c r="E105" i="1"/>
  <c r="F87" i="1"/>
  <c r="E87" i="1"/>
  <c r="F7" i="1"/>
  <c r="E7" i="1"/>
  <c r="F19" i="1"/>
  <c r="E19" i="1"/>
  <c r="F199" i="1"/>
  <c r="E199" i="1"/>
  <c r="F385" i="1"/>
  <c r="E385" i="1"/>
  <c r="F350" i="1"/>
  <c r="E350" i="1"/>
  <c r="F393" i="1"/>
  <c r="E393" i="1"/>
  <c r="F348" i="1"/>
  <c r="E348" i="1"/>
  <c r="F231" i="1"/>
  <c r="E231" i="1"/>
  <c r="F667" i="1"/>
  <c r="E667" i="1"/>
  <c r="E623" i="1"/>
  <c r="F473" i="1" l="1"/>
  <c r="E473" i="1"/>
  <c r="F463" i="1"/>
  <c r="E463" i="1"/>
  <c r="F417" i="1"/>
  <c r="E417" i="1"/>
  <c r="F332" i="1"/>
  <c r="E332" i="1"/>
  <c r="F289" i="1"/>
  <c r="E289" i="1"/>
  <c r="F260" i="1"/>
  <c r="E260" i="1"/>
  <c r="F200" i="1"/>
  <c r="F198" i="1"/>
  <c r="E198" i="1"/>
  <c r="F104" i="1"/>
  <c r="E104" i="1"/>
  <c r="F86" i="1"/>
  <c r="E86" i="1"/>
  <c r="F6" i="1"/>
  <c r="E6" i="1"/>
  <c r="F1404" i="1"/>
  <c r="E1404" i="1"/>
  <c r="F1348" i="1"/>
  <c r="E1348" i="1"/>
  <c r="F1288" i="1"/>
  <c r="E1288" i="1"/>
  <c r="F1270" i="1"/>
  <c r="E1270" i="1"/>
  <c r="F1253" i="1"/>
  <c r="E1253" i="1"/>
  <c r="F1236" i="1"/>
  <c r="E1236" i="1"/>
  <c r="F1233" i="1"/>
  <c r="E1233" i="1"/>
  <c r="F1221" i="1"/>
  <c r="E1221" i="1"/>
  <c r="F1213" i="1"/>
  <c r="E1213" i="1"/>
  <c r="F1195" i="1"/>
  <c r="E1195" i="1"/>
  <c r="F1110" i="1"/>
  <c r="E1110" i="1"/>
  <c r="F1106" i="1"/>
  <c r="E1106" i="1"/>
  <c r="F1093" i="1"/>
  <c r="E1093" i="1"/>
  <c r="F1009" i="1"/>
  <c r="E1009" i="1"/>
  <c r="F920" i="1"/>
  <c r="E920" i="1"/>
  <c r="F917" i="1"/>
  <c r="E917" i="1"/>
  <c r="F902" i="1"/>
  <c r="E902" i="1"/>
  <c r="F892" i="1"/>
  <c r="E892" i="1"/>
  <c r="F722" i="1"/>
  <c r="E722" i="1"/>
  <c r="F709" i="1"/>
  <c r="E709" i="1"/>
  <c r="F698" i="1"/>
  <c r="E698" i="1"/>
  <c r="F588" i="1"/>
  <c r="E588" i="1"/>
  <c r="F540" i="1"/>
  <c r="E540" i="1"/>
  <c r="F469" i="1"/>
  <c r="E469" i="1"/>
  <c r="F451" i="1"/>
  <c r="E451" i="1"/>
  <c r="F388" i="1"/>
  <c r="E388" i="1"/>
  <c r="F377" i="1"/>
  <c r="E377" i="1"/>
  <c r="F367" i="1"/>
  <c r="E367" i="1"/>
  <c r="F364" i="1"/>
  <c r="E364" i="1"/>
  <c r="F352" i="1"/>
  <c r="E352" i="1"/>
  <c r="F343" i="1"/>
  <c r="E343" i="1"/>
  <c r="F339" i="1"/>
  <c r="E339" i="1"/>
  <c r="F337" i="1"/>
  <c r="E337" i="1"/>
  <c r="F305" i="1"/>
  <c r="E305" i="1"/>
  <c r="F228" i="1"/>
  <c r="E228" i="1"/>
  <c r="F203" i="1"/>
  <c r="E203" i="1"/>
  <c r="F153" i="1"/>
  <c r="E153" i="1"/>
  <c r="F145" i="1"/>
  <c r="E145" i="1"/>
  <c r="F130" i="1"/>
  <c r="E130" i="1"/>
  <c r="E65" i="1"/>
  <c r="F76" i="1"/>
  <c r="E76" i="1"/>
  <c r="F65" i="1"/>
  <c r="F63" i="1"/>
  <c r="E63" i="1"/>
  <c r="F819" i="1"/>
  <c r="E819" i="1"/>
  <c r="F812" i="1"/>
  <c r="E812" i="1"/>
  <c r="F810" i="1"/>
  <c r="E810" i="1"/>
  <c r="F808" i="1"/>
  <c r="E808" i="1"/>
  <c r="F806" i="1"/>
  <c r="E806" i="1"/>
  <c r="F804" i="1"/>
  <c r="E804" i="1"/>
  <c r="F790" i="1"/>
  <c r="E790" i="1"/>
  <c r="F761" i="1"/>
  <c r="E761" i="1"/>
  <c r="F502" i="1"/>
  <c r="E502" i="1"/>
  <c r="F499" i="1"/>
  <c r="E499" i="1"/>
  <c r="F481" i="1"/>
  <c r="E481" i="1"/>
  <c r="F887" i="1" l="1"/>
  <c r="E887" i="1"/>
  <c r="F978" i="1"/>
  <c r="E978" i="1"/>
  <c r="F1320" i="1"/>
  <c r="E1320" i="1"/>
  <c r="F1317" i="1"/>
  <c r="E1317" i="1"/>
  <c r="F38" i="1"/>
  <c r="E38" i="1"/>
  <c r="F1362" i="1"/>
  <c r="E1362" i="1"/>
  <c r="F224" i="1"/>
  <c r="E224" i="1"/>
  <c r="F220" i="1"/>
  <c r="E220" i="1"/>
  <c r="F592" i="1"/>
  <c r="E592" i="1"/>
  <c r="F1056" i="1"/>
  <c r="E1056" i="1"/>
  <c r="F1399" i="1" l="1"/>
  <c r="E1399" i="1"/>
  <c r="E1395" i="1"/>
  <c r="E1028" i="1"/>
  <c r="F1028" i="1"/>
  <c r="E630" i="1"/>
  <c r="F630" i="1"/>
  <c r="E632" i="1"/>
  <c r="F635" i="1"/>
  <c r="E635" i="1"/>
  <c r="F1083" i="1"/>
  <c r="E1083" i="1"/>
  <c r="F1151" i="1"/>
  <c r="E1151" i="1"/>
  <c r="F1277" i="1"/>
  <c r="E1277" i="1"/>
  <c r="E11" i="1"/>
  <c r="F907" i="1"/>
  <c r="E907" i="1"/>
  <c r="F670" i="1"/>
  <c r="E670" i="1"/>
  <c r="F869" i="1" l="1"/>
  <c r="E869" i="1"/>
  <c r="F868" i="1"/>
  <c r="E868" i="1"/>
  <c r="E1192" i="1"/>
  <c r="F1382" i="1"/>
  <c r="E1382" i="1"/>
  <c r="F1376" i="1"/>
  <c r="E1376" i="1"/>
  <c r="F45" i="1"/>
  <c r="E45" i="1"/>
  <c r="F777" i="1"/>
  <c r="E777" i="1"/>
  <c r="F775" i="1"/>
  <c r="E775" i="1"/>
  <c r="F660" i="1"/>
  <c r="E660" i="1"/>
  <c r="F657" i="1"/>
  <c r="E657" i="1"/>
  <c r="F654" i="1"/>
  <c r="E654" i="1"/>
  <c r="F674" i="1" l="1"/>
  <c r="E674" i="1"/>
  <c r="F673" i="1"/>
  <c r="E673" i="1"/>
  <c r="F721" i="1" l="1"/>
  <c r="E721" i="1"/>
  <c r="F81" i="1"/>
  <c r="E81" i="1"/>
  <c r="F714" i="1" l="1"/>
  <c r="E714" i="1"/>
  <c r="F1044" i="1" l="1"/>
  <c r="E1044" i="1"/>
  <c r="F1037" i="1"/>
  <c r="E1037" i="1"/>
  <c r="F1042" i="1"/>
  <c r="E1042" i="1"/>
  <c r="F1041" i="1"/>
  <c r="E1041" i="1"/>
  <c r="F955" i="1"/>
  <c r="E955" i="1"/>
  <c r="F1192" i="1"/>
  <c r="E536" i="1"/>
  <c r="F536" i="1"/>
  <c r="F530" i="1"/>
  <c r="E530" i="1"/>
  <c r="F400" i="1"/>
  <c r="E400" i="1"/>
  <c r="E249" i="1" l="1"/>
  <c r="F249" i="1"/>
  <c r="F1169" i="1"/>
  <c r="F1168" i="1"/>
  <c r="E1168" i="1"/>
  <c r="F1212" i="1"/>
  <c r="E1212" i="1"/>
  <c r="F1258" i="1"/>
  <c r="E1258" i="1"/>
  <c r="F1256" i="1"/>
  <c r="E1256" i="1"/>
  <c r="E254" i="1" l="1"/>
  <c r="F515" i="1" l="1"/>
  <c r="E515" i="1"/>
  <c r="E324" i="1"/>
  <c r="F328" i="1"/>
  <c r="E328" i="1"/>
  <c r="F310" i="1"/>
  <c r="E310" i="1"/>
  <c r="F317" i="1"/>
  <c r="E317" i="1"/>
  <c r="E303" i="1"/>
  <c r="F303" i="1"/>
  <c r="F306" i="1"/>
  <c r="E306" i="1"/>
  <c r="E320" i="1"/>
  <c r="F320" i="1"/>
  <c r="E299" i="1"/>
  <c r="E298" i="1"/>
  <c r="F298" i="1"/>
  <c r="F299" i="1"/>
  <c r="F293" i="1"/>
  <c r="E293" i="1"/>
  <c r="F190" i="1"/>
  <c r="E190" i="1"/>
  <c r="E294" i="1"/>
  <c r="F294" i="1"/>
  <c r="E120" i="1"/>
  <c r="F567" i="1"/>
  <c r="E567" i="1"/>
  <c r="F325" i="1"/>
  <c r="E325" i="1"/>
  <c r="E286" i="1"/>
  <c r="F286" i="1"/>
  <c r="F319" i="1"/>
  <c r="E319" i="1"/>
  <c r="F314" i="1"/>
  <c r="E314" i="1"/>
  <c r="F44" i="1"/>
  <c r="E44" i="1"/>
  <c r="F253" i="1" l="1"/>
  <c r="F254" i="1"/>
  <c r="E253" i="1"/>
  <c r="F163" i="1"/>
  <c r="E163" i="1"/>
  <c r="F120" i="1"/>
  <c r="F11" i="1"/>
  <c r="F1107" i="1"/>
  <c r="E1107" i="1"/>
  <c r="F1103" i="1"/>
  <c r="E1103" i="1"/>
  <c r="F886" i="1" l="1"/>
  <c r="E886" i="1"/>
  <c r="F923" i="1"/>
  <c r="E923" i="1"/>
  <c r="E906" i="1"/>
  <c r="F906" i="1"/>
  <c r="E13" i="1" l="1"/>
  <c r="F13" i="1"/>
  <c r="F324" i="1" l="1"/>
  <c r="F278" i="1"/>
  <c r="E278" i="1"/>
  <c r="F600" i="1"/>
  <c r="E600" i="1"/>
  <c r="F601" i="1"/>
  <c r="E601" i="1"/>
  <c r="F454" i="1"/>
  <c r="E454" i="1"/>
  <c r="F148" i="1"/>
  <c r="E148" i="1"/>
  <c r="F1210" i="1"/>
  <c r="E1210" i="1"/>
  <c r="E1209" i="1"/>
  <c r="F1209" i="1"/>
  <c r="F1102" i="1"/>
  <c r="E1102" i="1"/>
  <c r="F313" i="1"/>
  <c r="E313" i="1"/>
  <c r="F1356" i="1"/>
  <c r="E1356" i="1"/>
  <c r="F1203" i="1" l="1"/>
  <c r="E1203" i="1"/>
  <c r="F991" i="1"/>
  <c r="E991" i="1"/>
  <c r="F1066" i="1"/>
  <c r="E1066" i="1"/>
  <c r="E909" i="1" l="1"/>
  <c r="F909" i="1"/>
  <c r="F948" i="1" l="1"/>
  <c r="E948" i="1"/>
  <c r="F583" i="1"/>
  <c r="E583" i="1"/>
  <c r="F584" i="1"/>
  <c r="E584" i="1"/>
  <c r="F179" i="1"/>
  <c r="E179" i="1"/>
  <c r="F74" i="1" l="1"/>
  <c r="E74" i="1"/>
  <c r="F1390" i="1"/>
  <c r="E1390" i="1"/>
  <c r="F1378" i="1"/>
  <c r="E1378" i="1"/>
  <c r="F1371" i="1"/>
  <c r="E1371" i="1"/>
  <c r="F1364" i="1"/>
  <c r="E1364" i="1"/>
  <c r="F1359" i="1"/>
  <c r="E1359" i="1"/>
  <c r="F1347" i="1"/>
  <c r="E1347" i="1"/>
  <c r="F1342" i="1"/>
  <c r="E1342" i="1"/>
  <c r="F1334" i="1"/>
  <c r="E1334" i="1"/>
  <c r="F1330" i="1"/>
  <c r="E1330" i="1"/>
  <c r="F1323" i="1"/>
  <c r="E1323" i="1"/>
  <c r="F1309" i="1"/>
  <c r="E1309" i="1"/>
  <c r="F1279" i="1"/>
  <c r="E1279" i="1"/>
  <c r="F1304" i="1"/>
  <c r="E1304" i="1"/>
  <c r="F1293" i="1"/>
  <c r="E1293" i="1"/>
  <c r="F1267" i="1"/>
  <c r="E1267" i="1"/>
  <c r="F1249" i="1"/>
  <c r="E1249" i="1"/>
  <c r="F1243" i="1"/>
  <c r="E1243" i="1"/>
  <c r="F1231" i="1"/>
  <c r="E1231" i="1"/>
  <c r="F1218" i="1"/>
  <c r="E1218" i="1"/>
  <c r="F1208" i="1"/>
  <c r="E1208" i="1"/>
  <c r="F1200" i="1"/>
  <c r="E1200" i="1"/>
  <c r="F1201" i="1"/>
  <c r="E1201" i="1"/>
  <c r="F1189" i="1"/>
  <c r="E1189" i="1"/>
  <c r="F1181" i="1"/>
  <c r="E1181" i="1"/>
  <c r="F1185" i="1"/>
  <c r="E1185" i="1"/>
  <c r="F1165" i="1"/>
  <c r="E1165" i="1"/>
  <c r="F1166" i="1"/>
  <c r="E1166" i="1"/>
  <c r="F1161" i="1"/>
  <c r="E1161" i="1"/>
  <c r="F1162" i="1"/>
  <c r="E1162" i="1"/>
  <c r="E1171" i="1"/>
  <c r="F1171" i="1"/>
  <c r="F1157" i="1"/>
  <c r="E1157" i="1"/>
  <c r="F1158" i="1"/>
  <c r="E1158" i="1"/>
  <c r="F1154" i="1"/>
  <c r="E1154" i="1"/>
  <c r="F1117" i="1"/>
  <c r="E1117" i="1"/>
  <c r="F1105" i="1"/>
  <c r="E1105" i="1"/>
  <c r="F1099" i="1"/>
  <c r="E1099" i="1"/>
  <c r="F1092" i="1"/>
  <c r="E1092" i="1"/>
  <c r="F1085" i="1"/>
  <c r="E1085" i="1"/>
  <c r="F1062" i="1"/>
  <c r="E1062" i="1"/>
  <c r="F1079" i="1"/>
  <c r="E1079" i="1"/>
  <c r="F1073" i="1"/>
  <c r="E1073" i="1"/>
  <c r="F1070" i="1"/>
  <c r="E1070" i="1"/>
  <c r="F1058" i="1"/>
  <c r="E1058" i="1"/>
  <c r="F1035" i="1"/>
  <c r="E1035" i="1"/>
  <c r="F1030" i="1"/>
  <c r="E1030" i="1"/>
  <c r="F1002" i="1"/>
  <c r="E1002" i="1"/>
  <c r="F971" i="1" l="1"/>
  <c r="E971" i="1"/>
  <c r="F966" i="1"/>
  <c r="E966" i="1"/>
  <c r="F962" i="1"/>
  <c r="E962" i="1"/>
  <c r="F897" i="1"/>
  <c r="E897" i="1"/>
  <c r="F957" i="1"/>
  <c r="E957" i="1"/>
  <c r="F945" i="1"/>
  <c r="E945" i="1"/>
  <c r="F930" i="1"/>
  <c r="E930" i="1"/>
  <c r="F1053" i="1"/>
  <c r="E1053" i="1"/>
  <c r="F889" i="1"/>
  <c r="E889" i="1"/>
  <c r="F883" i="1"/>
  <c r="E883" i="1"/>
  <c r="F871" i="1"/>
  <c r="E871" i="1"/>
  <c r="F860" i="1"/>
  <c r="E860" i="1"/>
  <c r="F855" i="1"/>
  <c r="E855" i="1"/>
  <c r="F850" i="1"/>
  <c r="E850" i="1"/>
  <c r="F846" i="1"/>
  <c r="E846" i="1"/>
  <c r="F774" i="1"/>
  <c r="E774" i="1"/>
  <c r="F749" i="1"/>
  <c r="E749" i="1"/>
  <c r="F697" i="1"/>
  <c r="E697" i="1"/>
  <c r="F693" i="1"/>
  <c r="E693" i="1"/>
  <c r="F689" i="1"/>
  <c r="E689" i="1"/>
  <c r="F708" i="1"/>
  <c r="E708" i="1"/>
  <c r="F704" i="1"/>
  <c r="E704" i="1"/>
  <c r="F731" i="1"/>
  <c r="E731" i="1"/>
  <c r="F680" i="1"/>
  <c r="E680" i="1"/>
  <c r="E676" i="1"/>
  <c r="F676" i="1"/>
  <c r="F652" i="1"/>
  <c r="E652" i="1"/>
  <c r="F637" i="1"/>
  <c r="E637" i="1"/>
  <c r="F632" i="1"/>
  <c r="F607" i="1"/>
  <c r="E607" i="1"/>
  <c r="F561" i="1"/>
  <c r="E561" i="1"/>
  <c r="F603" i="1"/>
  <c r="E603" i="1"/>
  <c r="F598" i="1"/>
  <c r="E598" i="1"/>
  <c r="F594" i="1"/>
  <c r="E594" i="1"/>
  <c r="F577" i="1"/>
  <c r="E577" i="1"/>
  <c r="F569" i="1"/>
  <c r="E569" i="1"/>
  <c r="F565" i="1"/>
  <c r="E565" i="1"/>
  <c r="F523" i="1"/>
  <c r="E523" i="1"/>
  <c r="F517" i="1"/>
  <c r="E517" i="1"/>
  <c r="F118" i="1"/>
  <c r="E118" i="1"/>
  <c r="F114" i="1"/>
  <c r="E114" i="1"/>
  <c r="F110" i="1"/>
  <c r="E110" i="1"/>
  <c r="F493" i="1"/>
  <c r="E493" i="1"/>
  <c r="F425" i="1"/>
  <c r="E425" i="1"/>
  <c r="F409" i="1"/>
  <c r="E409" i="1"/>
  <c r="F387" i="1"/>
  <c r="E387" i="1"/>
  <c r="F376" i="1"/>
  <c r="E376" i="1"/>
  <c r="F375" i="1"/>
  <c r="E375" i="1"/>
  <c r="F440" i="1"/>
  <c r="E440" i="1"/>
  <c r="F433" i="1"/>
  <c r="E433" i="1"/>
  <c r="F456" i="1"/>
  <c r="E456" i="1"/>
  <c r="F480" i="1"/>
  <c r="E480" i="1"/>
  <c r="F272" i="1"/>
  <c r="E272" i="1"/>
  <c r="F327" i="1"/>
  <c r="E327" i="1"/>
  <c r="F301" i="1" l="1"/>
  <c r="E301" i="1"/>
  <c r="F281" i="1"/>
  <c r="E281" i="1"/>
  <c r="F296" i="1"/>
  <c r="E296" i="1"/>
  <c r="F830" i="1" l="1"/>
  <c r="E830" i="1"/>
  <c r="F760" i="1"/>
  <c r="E760" i="1"/>
  <c r="F795" i="1"/>
  <c r="E795" i="1"/>
  <c r="F789" i="1"/>
  <c r="E789" i="1"/>
  <c r="F262" i="1" l="1"/>
  <c r="E262" i="1"/>
  <c r="F251" i="1"/>
  <c r="E251" i="1"/>
  <c r="F256" i="1"/>
  <c r="E256" i="1"/>
  <c r="F243" i="1"/>
  <c r="E243" i="1"/>
  <c r="F233" i="1"/>
  <c r="E233" i="1"/>
  <c r="F226" i="1"/>
  <c r="E226" i="1"/>
  <c r="F222" i="1"/>
  <c r="E222" i="1"/>
  <c r="F214" i="1"/>
  <c r="E214" i="1"/>
  <c r="F150" i="1"/>
  <c r="E150" i="1"/>
  <c r="F106" i="1"/>
  <c r="E106" i="1"/>
  <c r="F99" i="1"/>
  <c r="E99" i="1"/>
  <c r="F71" i="1"/>
  <c r="E71" i="1"/>
  <c r="F24" i="1"/>
  <c r="E24" i="1"/>
  <c r="F20" i="1"/>
  <c r="E20" i="1"/>
  <c r="F123" i="1"/>
  <c r="E123" i="1"/>
  <c r="F128" i="1"/>
  <c r="E128" i="1"/>
  <c r="F166" i="1"/>
  <c r="E166" i="1"/>
  <c r="F175" i="1"/>
  <c r="E175" i="1"/>
  <c r="F193" i="1"/>
  <c r="E193" i="1"/>
  <c r="F194" i="1"/>
  <c r="E194" i="1"/>
  <c r="F939" i="1"/>
  <c r="E939" i="1"/>
  <c r="F47" i="1" l="1"/>
  <c r="E47" i="1"/>
  <c r="F824" i="1"/>
  <c r="E824" i="1"/>
  <c r="F818" i="1"/>
  <c r="E818" i="1"/>
  <c r="F803" i="1"/>
  <c r="E803" i="1"/>
  <c r="F735" i="1"/>
  <c r="E735" i="1"/>
  <c r="F669" i="1"/>
  <c r="E669" i="1"/>
  <c r="F624" i="1"/>
  <c r="E624" i="1"/>
  <c r="F533" i="1"/>
  <c r="E533" i="1"/>
  <c r="F538" i="1"/>
  <c r="E538" i="1"/>
  <c r="F513" i="1"/>
  <c r="E513" i="1"/>
  <c r="F475" i="1"/>
  <c r="E475" i="1"/>
  <c r="F465" i="1"/>
  <c r="E465" i="1"/>
  <c r="F419" i="1"/>
  <c r="E419" i="1"/>
  <c r="F395" i="1"/>
  <c r="E395" i="1"/>
  <c r="F363" i="1"/>
  <c r="E363" i="1"/>
  <c r="F334" i="1"/>
  <c r="E334" i="1"/>
  <c r="E200" i="1" l="1"/>
  <c r="F88" i="1"/>
  <c r="E88" i="1"/>
  <c r="F784" i="1"/>
  <c r="E784" i="1"/>
  <c r="F1357" i="1" l="1"/>
  <c r="E1357" i="1"/>
  <c r="F1395" i="1" l="1"/>
  <c r="F69" i="1" l="1"/>
  <c r="E69" i="1"/>
  <c r="F616" i="1" l="1"/>
  <c r="E616" i="1"/>
  <c r="F719" i="1" l="1"/>
  <c r="E719" i="1"/>
  <c r="F407" i="1" l="1"/>
  <c r="E407" i="1"/>
  <c r="E1169" i="1" l="1"/>
  <c r="F241" i="1" l="1"/>
  <c r="E241" i="1"/>
  <c r="F155" i="1" l="1"/>
  <c r="E155" i="1"/>
  <c r="F1152" i="1" l="1"/>
  <c r="E1152" i="1"/>
  <c r="F1316" i="1" l="1"/>
  <c r="E1316" i="1"/>
  <c r="F787" i="1"/>
  <c r="E787" i="1"/>
  <c r="F18" i="1" l="1"/>
  <c r="E18" i="1"/>
  <c r="F235" i="1" l="1"/>
  <c r="E235" i="1"/>
  <c r="F237" i="1"/>
  <c r="E237" i="1"/>
  <c r="F1100" i="1" l="1"/>
  <c r="E1100" i="1"/>
  <c r="F737" i="1" l="1"/>
  <c r="E737" i="1"/>
  <c r="F682" i="1" l="1"/>
  <c r="E682" i="1"/>
  <c r="F952" i="1" l="1"/>
  <c r="E952" i="1"/>
  <c r="F736" i="1"/>
  <c r="E736" i="1"/>
  <c r="F1299" i="1"/>
  <c r="E1299" i="1"/>
  <c r="F1298" i="1"/>
  <c r="E1298" i="1"/>
  <c r="F1272" i="1"/>
  <c r="E1272" i="1"/>
  <c r="F681" i="1"/>
  <c r="E681" i="1"/>
  <c r="F899" i="1"/>
  <c r="E899" i="1"/>
  <c r="F653" i="1"/>
  <c r="E653" i="1"/>
  <c r="F579" i="1"/>
  <c r="E579" i="1"/>
  <c r="F884" i="1"/>
  <c r="E884" i="1"/>
  <c r="F877" i="1"/>
  <c r="E877" i="1"/>
  <c r="F611" i="1"/>
  <c r="E611" i="1"/>
  <c r="F459" i="1"/>
  <c r="E459" i="1"/>
  <c r="F914" i="1"/>
  <c r="E914" i="1"/>
  <c r="F1379" i="1"/>
  <c r="E1379" i="1"/>
  <c r="F187" i="1"/>
  <c r="E187" i="1"/>
  <c r="F1223" i="1"/>
  <c r="E1223" i="1"/>
  <c r="F215" i="1"/>
  <c r="E215" i="1"/>
  <c r="F1007" i="1"/>
  <c r="E1007" i="1"/>
  <c r="F157" i="1"/>
  <c r="E157" i="1"/>
  <c r="F336" i="1"/>
  <c r="E336" i="1"/>
  <c r="F1310" i="1"/>
  <c r="E1310" i="1"/>
  <c r="F101" i="1"/>
  <c r="E101" i="1"/>
  <c r="F420" i="1"/>
  <c r="E420" i="1"/>
  <c r="F940" i="1"/>
  <c r="E940" i="1"/>
  <c r="F1365" i="1"/>
  <c r="E1365" i="1"/>
  <c r="F216" i="1"/>
  <c r="E216" i="1"/>
  <c r="F1232" i="1"/>
  <c r="E1232" i="1"/>
  <c r="F539" i="1"/>
  <c r="E539" i="1"/>
  <c r="F898" i="1"/>
  <c r="E898" i="1"/>
  <c r="F201" i="1"/>
  <c r="E201" i="1"/>
  <c r="F1287" i="1"/>
  <c r="E1287" i="1"/>
  <c r="F876" i="1"/>
  <c r="E876" i="1"/>
  <c r="F656" i="1"/>
  <c r="E656" i="1"/>
  <c r="F421" i="1"/>
  <c r="E421" i="1"/>
  <c r="F608" i="1"/>
  <c r="E608" i="1"/>
  <c r="F1220" i="1"/>
  <c r="E1220" i="1"/>
  <c r="F342" i="1"/>
  <c r="E342" i="1"/>
  <c r="F209" i="1"/>
  <c r="E209" i="1"/>
  <c r="F1235" i="1"/>
  <c r="E1235" i="1"/>
  <c r="F227" i="1" l="1"/>
  <c r="E227" i="1"/>
  <c r="F397" i="1"/>
  <c r="E397" i="1"/>
  <c r="F396" i="1"/>
  <c r="E396" i="1"/>
  <c r="F427" i="1"/>
  <c r="E427" i="1"/>
  <c r="F875" i="1"/>
  <c r="E875" i="1"/>
  <c r="F399" i="1"/>
  <c r="E399" i="1"/>
  <c r="F648" i="1"/>
  <c r="E648" i="1"/>
  <c r="F798" i="1"/>
  <c r="E798" i="1"/>
  <c r="F414" i="1"/>
  <c r="E414" i="1"/>
  <c r="F739" i="1"/>
  <c r="E739" i="1"/>
  <c r="F426" i="1"/>
  <c r="E426" i="1"/>
  <c r="F52" i="1"/>
  <c r="E52" i="1"/>
  <c r="F831" i="1"/>
  <c r="E831" i="1"/>
  <c r="F1297" i="1"/>
  <c r="E1297" i="1"/>
  <c r="F495" i="1"/>
  <c r="E495" i="1"/>
  <c r="F683" i="1"/>
  <c r="E683" i="1"/>
  <c r="F151" i="1"/>
  <c r="E151" i="1"/>
  <c r="F750" i="1" l="1"/>
  <c r="E750" i="1"/>
  <c r="F1402" i="1" l="1"/>
  <c r="E1402" i="1"/>
  <c r="F1308" i="1" l="1"/>
  <c r="E1308" i="1"/>
  <c r="F597" i="1"/>
  <c r="E597" i="1"/>
  <c r="F492" i="1"/>
  <c r="E492" i="1"/>
  <c r="F213" i="1"/>
  <c r="E213" i="1"/>
  <c r="F547" i="1" l="1"/>
  <c r="E547" i="1"/>
  <c r="F555" i="1"/>
  <c r="E555" i="1"/>
  <c r="F316" i="1" l="1"/>
  <c r="E316" i="1"/>
  <c r="F309" i="1" l="1"/>
  <c r="E309" i="1"/>
  <c r="F291" i="1" l="1"/>
  <c r="E291" i="1"/>
</calcChain>
</file>

<file path=xl/comments1.xml><?xml version="1.0" encoding="utf-8"?>
<comments xmlns="http://schemas.openxmlformats.org/spreadsheetml/2006/main">
  <authors>
    <author>Hammarklint, Thomas</author>
  </authors>
  <commentList>
    <comment ref="M124" authorId="0" shapeId="0">
      <text>
        <r>
          <rPr>
            <b/>
            <sz val="9"/>
            <color indexed="81"/>
            <rFont val="Tahoma"/>
            <family val="2"/>
          </rPr>
          <t>EJ SYNLIG I DISPLAY</t>
        </r>
      </text>
    </comment>
    <comment ref="B305" authorId="0" shapeId="0">
      <text>
        <r>
          <rPr>
            <b/>
            <sz val="9"/>
            <color indexed="81"/>
            <rFont val="Tahoma"/>
            <family val="2"/>
          </rPr>
          <t>nedlagd</t>
        </r>
      </text>
    </comment>
    <comment ref="M566" authorId="0" shapeId="0">
      <text>
        <r>
          <rPr>
            <b/>
            <sz val="9"/>
            <color indexed="81"/>
            <rFont val="Tahoma"/>
            <family val="2"/>
          </rPr>
          <t>VST EJ AKTIV</t>
        </r>
      </text>
    </comment>
    <comment ref="B662" authorId="0" shapeId="0">
      <text>
        <r>
          <rPr>
            <b/>
            <sz val="9"/>
            <color indexed="81"/>
            <rFont val="Tahoma"/>
            <family val="2"/>
          </rPr>
          <t>nedlagd?</t>
        </r>
      </text>
    </comment>
    <comment ref="B721" authorId="0" shapeId="0">
      <text>
        <r>
          <rPr>
            <b/>
            <sz val="9"/>
            <color indexed="81"/>
            <rFont val="Tahoma"/>
            <family val="2"/>
          </rPr>
          <t>nedlagd</t>
        </r>
      </text>
    </comment>
    <comment ref="M836" authorId="0" shapeId="0">
      <text>
        <r>
          <rPr>
            <b/>
            <sz val="9"/>
            <color indexed="81"/>
            <rFont val="Tahoma"/>
            <family val="2"/>
          </rPr>
          <t>EJ SYNLIG I DISPLAY</t>
        </r>
      </text>
    </comment>
    <comment ref="M839" authorId="0" shapeId="0">
      <text>
        <r>
          <rPr>
            <b/>
            <sz val="9"/>
            <color indexed="81"/>
            <rFont val="Tahoma"/>
            <family val="2"/>
          </rPr>
          <t>EJ SYNLIG I DISPLAY</t>
        </r>
      </text>
    </comment>
    <comment ref="M841" authorId="0" shapeId="0">
      <text>
        <r>
          <rPr>
            <b/>
            <sz val="9"/>
            <color indexed="81"/>
            <rFont val="Tahoma"/>
            <family val="2"/>
          </rPr>
          <t>EJ SYNLIG I DISPLAY</t>
        </r>
      </text>
    </comment>
    <comment ref="E1044" authorId="0" shapeId="0">
      <text>
        <r>
          <rPr>
            <b/>
            <sz val="9"/>
            <color indexed="81"/>
            <rFont val="Tahoma"/>
            <family val="2"/>
          </rPr>
          <t>Vindgivarens position</t>
        </r>
      </text>
    </comment>
    <comment ref="F1044" authorId="0" shapeId="0">
      <text>
        <r>
          <rPr>
            <b/>
            <sz val="9"/>
            <color indexed="81"/>
            <rFont val="Tahoma"/>
            <family val="2"/>
          </rPr>
          <t>Vindgivarens position</t>
        </r>
      </text>
    </comment>
    <comment ref="M1136" authorId="0" shapeId="0">
      <text>
        <r>
          <rPr>
            <b/>
            <sz val="9"/>
            <color indexed="81"/>
            <rFont val="Tahoma"/>
            <family val="2"/>
          </rPr>
          <t>Fd. Stena Lagan</t>
        </r>
      </text>
    </comment>
    <comment ref="B1212" authorId="0" shapeId="0">
      <text>
        <r>
          <rPr>
            <b/>
            <sz val="9"/>
            <color indexed="81"/>
            <rFont val="Tahoma"/>
            <family val="2"/>
          </rPr>
          <t>nedlagd</t>
        </r>
      </text>
    </comment>
    <comment ref="B1258" authorId="0" shapeId="0">
      <text>
        <r>
          <rPr>
            <b/>
            <sz val="9"/>
            <color indexed="81"/>
            <rFont val="Tahoma"/>
            <family val="2"/>
          </rPr>
          <t>nedlagd</t>
        </r>
      </text>
    </comment>
  </commentList>
</comments>
</file>

<file path=xl/sharedStrings.xml><?xml version="1.0" encoding="utf-8"?>
<sst xmlns="http://schemas.openxmlformats.org/spreadsheetml/2006/main" count="22044" uniqueCount="3047">
  <si>
    <t>NR</t>
  </si>
  <si>
    <t>LATITUD</t>
  </si>
  <si>
    <t>LONGITUD</t>
  </si>
  <si>
    <t>ÄGARE</t>
  </si>
  <si>
    <t xml:space="preserve">SMHI </t>
  </si>
  <si>
    <t>MET</t>
  </si>
  <si>
    <t>TG</t>
  </si>
  <si>
    <t xml:space="preserve">Ale  </t>
  </si>
  <si>
    <t>SMHI</t>
  </si>
  <si>
    <t xml:space="preserve">Atle </t>
  </si>
  <si>
    <t xml:space="preserve">Blockhusudden </t>
  </si>
  <si>
    <t xml:space="preserve">Brandalsund </t>
  </si>
  <si>
    <t xml:space="preserve">Brinkebergskulle Nedre </t>
  </si>
  <si>
    <t xml:space="preserve">Brinkebergskulle Övre </t>
  </si>
  <si>
    <t xml:space="preserve">Brofjorden </t>
  </si>
  <si>
    <t xml:space="preserve">Brofjorden Tavla 1 </t>
  </si>
  <si>
    <t>-</t>
  </si>
  <si>
    <t xml:space="preserve">Brofjordens Angöring </t>
  </si>
  <si>
    <t xml:space="preserve">Bönan </t>
  </si>
  <si>
    <t xml:space="preserve">Dalbobron </t>
  </si>
  <si>
    <t xml:space="preserve">E4 Bron Södertälje </t>
  </si>
  <si>
    <t xml:space="preserve">Eggegrund </t>
  </si>
  <si>
    <t xml:space="preserve">Falkenberg Vatten </t>
  </si>
  <si>
    <t xml:space="preserve">Falkenberg Vind </t>
  </si>
  <si>
    <t xml:space="preserve">Flinten 16 </t>
  </si>
  <si>
    <t xml:space="preserve">Flinten 7 </t>
  </si>
  <si>
    <t xml:space="preserve">Flinten SW </t>
  </si>
  <si>
    <t xml:space="preserve">Frej </t>
  </si>
  <si>
    <t>Frihamnen</t>
  </si>
  <si>
    <t xml:space="preserve">Furusund </t>
  </si>
  <si>
    <t xml:space="preserve">Gubben </t>
  </si>
  <si>
    <t xml:space="preserve">Gäveskär NO (Test) </t>
  </si>
  <si>
    <t xml:space="preserve">Gåsören </t>
  </si>
  <si>
    <t xml:space="preserve">Göta </t>
  </si>
  <si>
    <t xml:space="preserve">Götaälvbron </t>
  </si>
  <si>
    <t xml:space="preserve">Halmstad Vatten </t>
  </si>
  <si>
    <t xml:space="preserve">Halmstad Vind </t>
  </si>
  <si>
    <t xml:space="preserve">Hamneskär </t>
  </si>
  <si>
    <t xml:space="preserve">Hargs Hamn </t>
  </si>
  <si>
    <t xml:space="preserve">Helsingborg </t>
  </si>
  <si>
    <t>TG/MET</t>
  </si>
  <si>
    <t xml:space="preserve">Hjulstabron </t>
  </si>
  <si>
    <t xml:space="preserve">Hoburg (SMHI) </t>
  </si>
  <si>
    <t xml:space="preserve">Holmsund </t>
  </si>
  <si>
    <t xml:space="preserve">Husum </t>
  </si>
  <si>
    <t>Huvudskär havsboj (SMHI)</t>
  </si>
  <si>
    <t xml:space="preserve">Hävringe </t>
  </si>
  <si>
    <t xml:space="preserve">Jordfallsbron </t>
  </si>
  <si>
    <t xml:space="preserve">Juten </t>
  </si>
  <si>
    <t xml:space="preserve">Kalix-Karlsborg </t>
  </si>
  <si>
    <t xml:space="preserve">Kalmar </t>
  </si>
  <si>
    <t xml:space="preserve">Karet (GBG Hamn) </t>
  </si>
  <si>
    <t xml:space="preserve">Karlshamn </t>
  </si>
  <si>
    <t xml:space="preserve">Klagshamn (SMHI) </t>
  </si>
  <si>
    <t xml:space="preserve">Knolls Grund (SMHI) </t>
  </si>
  <si>
    <t xml:space="preserve">Kungsholmsfort (SMHI) </t>
  </si>
  <si>
    <t xml:space="preserve">Kungsvik (SMHI) </t>
  </si>
  <si>
    <t xml:space="preserve">Kvicksund </t>
  </si>
  <si>
    <t xml:space="preserve">Kälsholmen </t>
  </si>
  <si>
    <t xml:space="preserve">Köping </t>
  </si>
  <si>
    <t xml:space="preserve">Lagnögrund </t>
  </si>
  <si>
    <t xml:space="preserve">Landsort Norra (SMHI) </t>
  </si>
  <si>
    <t xml:space="preserve">Larsgrund </t>
  </si>
  <si>
    <t xml:space="preserve">Lilla Edet Flöde </t>
  </si>
  <si>
    <t xml:space="preserve">Lilla Edet Nedre </t>
  </si>
  <si>
    <t xml:space="preserve">Lilla Edet Övre </t>
  </si>
  <si>
    <t xml:space="preserve">Linasundet </t>
  </si>
  <si>
    <t xml:space="preserve">Linasundet Sikt </t>
  </si>
  <si>
    <t xml:space="preserve">Loudden </t>
  </si>
  <si>
    <t xml:space="preserve">Lunde </t>
  </si>
  <si>
    <t xml:space="preserve">Malmö Hamn </t>
  </si>
  <si>
    <t xml:space="preserve">Marstrand </t>
  </si>
  <si>
    <t xml:space="preserve">Marviken (SMHI) </t>
  </si>
  <si>
    <t xml:space="preserve">Mitholmarna </t>
  </si>
  <si>
    <t xml:space="preserve">Mälaren </t>
  </si>
  <si>
    <t xml:space="preserve">Måvholmsbådan </t>
  </si>
  <si>
    <t xml:space="preserve">Nordkoster (SMHI) </t>
  </si>
  <si>
    <t xml:space="preserve">Nordvalen </t>
  </si>
  <si>
    <t xml:space="preserve">Norrköping NK </t>
  </si>
  <si>
    <t xml:space="preserve">Norrköping Plan4 Vst LAB1 </t>
  </si>
  <si>
    <t xml:space="preserve">Norrköping Plan4 Vst LAB2 </t>
  </si>
  <si>
    <t xml:space="preserve">Norvik (SH) </t>
  </si>
  <si>
    <t xml:space="preserve">Nynäs fiskehamn </t>
  </si>
  <si>
    <t xml:space="preserve">Nynäs färjeterminal (SH) </t>
  </si>
  <si>
    <t xml:space="preserve">Nynäs oljehamn </t>
  </si>
  <si>
    <t xml:space="preserve">Oden </t>
  </si>
  <si>
    <t xml:space="preserve">Onsala (Chalmers) </t>
  </si>
  <si>
    <t xml:space="preserve">Oskarshamn (SMHI) </t>
  </si>
  <si>
    <t xml:space="preserve">Pite Älv (Skekraft) </t>
  </si>
  <si>
    <t xml:space="preserve">Pålgrunden (SMHI) </t>
  </si>
  <si>
    <t xml:space="preserve">Ratan (SMHI) </t>
  </si>
  <si>
    <t xml:space="preserve">Remmargrund </t>
  </si>
  <si>
    <t xml:space="preserve">Renöragrund </t>
  </si>
  <si>
    <t xml:space="preserve">Revengegrundet </t>
  </si>
  <si>
    <t xml:space="preserve">Revet </t>
  </si>
  <si>
    <t xml:space="preserve">Ryssmasterna </t>
  </si>
  <si>
    <t xml:space="preserve">Simpevarp (SKB) </t>
  </si>
  <si>
    <t>SKB</t>
  </si>
  <si>
    <t xml:space="preserve">Simrishamn (SMHI) </t>
  </si>
  <si>
    <t xml:space="preserve">Sjötorp </t>
  </si>
  <si>
    <t xml:space="preserve">Skagsudde </t>
  </si>
  <si>
    <t xml:space="preserve">Skallen </t>
  </si>
  <si>
    <t xml:space="preserve">Skanör (SMHI) </t>
  </si>
  <si>
    <t xml:space="preserve">Skoghall </t>
  </si>
  <si>
    <t xml:space="preserve">Skötkobben </t>
  </si>
  <si>
    <t xml:space="preserve">Slite </t>
  </si>
  <si>
    <t xml:space="preserve">Smögen (SMHI) </t>
  </si>
  <si>
    <t xml:space="preserve">Spikarna (SMHI) </t>
  </si>
  <si>
    <t xml:space="preserve">Stallbackabron </t>
  </si>
  <si>
    <t xml:space="preserve">Stenungsund (Borealis) </t>
  </si>
  <si>
    <t xml:space="preserve">Stenungsund (Petroport) </t>
  </si>
  <si>
    <t xml:space="preserve">Stenungsund (SMHI) </t>
  </si>
  <si>
    <t xml:space="preserve">Stenungsund (Vattenfall) </t>
  </si>
  <si>
    <t xml:space="preserve">Stockholm (SMHI) </t>
  </si>
  <si>
    <t xml:space="preserve">Stretudden </t>
  </si>
  <si>
    <t xml:space="preserve">Strömören </t>
  </si>
  <si>
    <t xml:space="preserve">Stötbotten </t>
  </si>
  <si>
    <t xml:space="preserve">Subbeberget </t>
  </si>
  <si>
    <t xml:space="preserve">Sunnanå </t>
  </si>
  <si>
    <t xml:space="preserve">Svanö </t>
  </si>
  <si>
    <t xml:space="preserve">Svartklubben </t>
  </si>
  <si>
    <t xml:space="preserve">Söderarm (SMHI) </t>
  </si>
  <si>
    <t xml:space="preserve">Södertälje Saltsjön </t>
  </si>
  <si>
    <t xml:space="preserve">Tavastland (SMHI) </t>
  </si>
  <si>
    <t>FB</t>
  </si>
  <si>
    <t xml:space="preserve">Torshamnen (GBG Hamn) </t>
  </si>
  <si>
    <t xml:space="preserve">Trollhättan </t>
  </si>
  <si>
    <t xml:space="preserve">Tån </t>
  </si>
  <si>
    <t xml:space="preserve">Tångudden </t>
  </si>
  <si>
    <t xml:space="preserve">Uddevalla (SMHI) </t>
  </si>
  <si>
    <t xml:space="preserve">Varberg </t>
  </si>
  <si>
    <t xml:space="preserve">Vargön </t>
  </si>
  <si>
    <t xml:space="preserve">Verkö (KBP) </t>
  </si>
  <si>
    <t xml:space="preserve">Viken (SMHI) </t>
  </si>
  <si>
    <t xml:space="preserve">Vinga </t>
  </si>
  <si>
    <t xml:space="preserve">Visby </t>
  </si>
  <si>
    <t xml:space="preserve">Väderöarna vågboj (SMHI) </t>
  </si>
  <si>
    <t>Värmdö Garpen</t>
  </si>
  <si>
    <t xml:space="preserve">Västerbådan </t>
  </si>
  <si>
    <t xml:space="preserve">Västervik </t>
  </si>
  <si>
    <t xml:space="preserve">Ymer </t>
  </si>
  <si>
    <t xml:space="preserve">Ystad </t>
  </si>
  <si>
    <t xml:space="preserve">Älvängen </t>
  </si>
  <si>
    <t xml:space="preserve">Åkerström </t>
  </si>
  <si>
    <t xml:space="preserve">Ölands Norra Udde (SMHI) </t>
  </si>
  <si>
    <t xml:space="preserve">Ölands Södra Udde (SMHI) </t>
  </si>
  <si>
    <t>PARAMETRAR</t>
  </si>
  <si>
    <t>TYP</t>
  </si>
  <si>
    <t>VÄNERN</t>
  </si>
  <si>
    <t>GÖTA ÄLV</t>
  </si>
  <si>
    <t>HAVET</t>
  </si>
  <si>
    <t>MÄLAREN</t>
  </si>
  <si>
    <t>Finngrundet (SMHI)</t>
  </si>
  <si>
    <t>Furuögrund (SMHI)</t>
  </si>
  <si>
    <t>Kalix-Storön (SMHI)</t>
  </si>
  <si>
    <t>Forsmark</t>
  </si>
  <si>
    <t>Adelsö (SMHI)</t>
  </si>
  <si>
    <t>Ringhals</t>
  </si>
  <si>
    <t>OMRÅDE</t>
  </si>
  <si>
    <t>Hisingsbron GBG Hamn</t>
  </si>
  <si>
    <t>X</t>
  </si>
  <si>
    <t>Vattenstånd</t>
  </si>
  <si>
    <t>Vattentemperatur</t>
  </si>
  <si>
    <t>Salthalt</t>
  </si>
  <si>
    <t>Vindriktning, vindhastighet och byvind</t>
  </si>
  <si>
    <t>Lufttemperatur</t>
  </si>
  <si>
    <t>Meteorologisk sikt</t>
  </si>
  <si>
    <t>Strömriktning och strömhastighet</t>
  </si>
  <si>
    <t>HAVET/VÄNERN</t>
  </si>
  <si>
    <t>Sjöfartsverket</t>
  </si>
  <si>
    <t>Gävle Hamn AB</t>
  </si>
  <si>
    <t>Chalmers Tekniska Högskola</t>
  </si>
  <si>
    <t>Barsebäck</t>
  </si>
  <si>
    <t>Borealis AB</t>
  </si>
  <si>
    <t>ATMP</t>
  </si>
  <si>
    <t>RELH</t>
  </si>
  <si>
    <t>Relativ fuktighet</t>
  </si>
  <si>
    <t>SHIP KLASS</t>
  </si>
  <si>
    <t>Ferrybox</t>
  </si>
  <si>
    <t>Meteorologisk station</t>
  </si>
  <si>
    <t>Pegel / vattenståndsmätare</t>
  </si>
  <si>
    <t>Syrehalt</t>
  </si>
  <si>
    <t>Vattenflöde</t>
  </si>
  <si>
    <t>Skellefteå Kraft</t>
  </si>
  <si>
    <t>AGNESBERG VST</t>
  </si>
  <si>
    <t>12-01.611</t>
  </si>
  <si>
    <t>57-47.386</t>
  </si>
  <si>
    <t>ALE</t>
  </si>
  <si>
    <t>ARKÖ VIND</t>
  </si>
  <si>
    <t>16-57.669</t>
  </si>
  <si>
    <t>58-29.037</t>
  </si>
  <si>
    <t>ARKÖ VST</t>
  </si>
  <si>
    <t>16-57.819</t>
  </si>
  <si>
    <t>58-28.987</t>
  </si>
  <si>
    <t>ATLE</t>
  </si>
  <si>
    <t>Barsebäck Kraft AB</t>
  </si>
  <si>
    <t>BARSEBÄCK VST</t>
  </si>
  <si>
    <t>12-54.1980</t>
  </si>
  <si>
    <t>55-46.3860</t>
  </si>
  <si>
    <t>100011233</t>
  </si>
  <si>
    <t>BLOCKHUSUDDEN (SH)</t>
  </si>
  <si>
    <t>100005396</t>
  </si>
  <si>
    <t>BRANDALSUND</t>
  </si>
  <si>
    <t>100007226</t>
  </si>
  <si>
    <t>BRINKEBERGSKULLE NEDRE</t>
  </si>
  <si>
    <t>100007228</t>
  </si>
  <si>
    <t>BRINKEBERGSKULLE ÖVRE</t>
  </si>
  <si>
    <t>100005452</t>
  </si>
  <si>
    <t>BROFJORDEN VST</t>
  </si>
  <si>
    <t>100011169</t>
  </si>
  <si>
    <t>BROFJORDENS ANGÖRING</t>
  </si>
  <si>
    <t>11-13.374</t>
  </si>
  <si>
    <t>58-15.079</t>
  </si>
  <si>
    <t>100008878</t>
  </si>
  <si>
    <t>BÖNAN VIND</t>
  </si>
  <si>
    <t>100005438</t>
  </si>
  <si>
    <t>BÖNAN VST</t>
  </si>
  <si>
    <t>17-19.118</t>
  </si>
  <si>
    <t>60-44.304</t>
  </si>
  <si>
    <t>100007195</t>
  </si>
  <si>
    <t>DALBOBRON</t>
  </si>
  <si>
    <t>100007726</t>
  </si>
  <si>
    <t>E4 BRON SÖDERTÄLJE SIKT</t>
  </si>
  <si>
    <t>100011756</t>
  </si>
  <si>
    <t>E4 BRON SÖDERTÄLJE VST</t>
  </si>
  <si>
    <t>100006583</t>
  </si>
  <si>
    <t>EGGEGRUND</t>
  </si>
  <si>
    <t>100011755</t>
  </si>
  <si>
    <t>ERIKSBERG VST</t>
  </si>
  <si>
    <t>11-54.530</t>
  </si>
  <si>
    <t>57-41.794</t>
  </si>
  <si>
    <t>100005383</t>
  </si>
  <si>
    <t>FALKENBERG VIND</t>
  </si>
  <si>
    <t>12-28.103</t>
  </si>
  <si>
    <t>56-53.077</t>
  </si>
  <si>
    <t>Falkenbergs Terminal AB</t>
  </si>
  <si>
    <t>100008874</t>
  </si>
  <si>
    <t>FALKENBERG VST</t>
  </si>
  <si>
    <t>12-29.370</t>
  </si>
  <si>
    <t>56-53.520</t>
  </si>
  <si>
    <t>100010947</t>
  </si>
  <si>
    <t>FINNGRUNDET (SMHI)</t>
  </si>
  <si>
    <t>18-36.5592246</t>
  </si>
  <si>
    <t>60-53.9998276</t>
  </si>
  <si>
    <t>100006574</t>
  </si>
  <si>
    <t>FLINTEN 16</t>
  </si>
  <si>
    <t>100006575</t>
  </si>
  <si>
    <t>FLINTEN 7</t>
  </si>
  <si>
    <t>100006573</t>
  </si>
  <si>
    <t>FLINTEN SV</t>
  </si>
  <si>
    <t>100012358</t>
  </si>
  <si>
    <t>FOGDEN</t>
  </si>
  <si>
    <t>12-44.3017082</t>
  </si>
  <si>
    <t>100008875</t>
  </si>
  <si>
    <t>FORSMARK VIND</t>
  </si>
  <si>
    <t>100010948</t>
  </si>
  <si>
    <t>FORSMARK VST</t>
  </si>
  <si>
    <t>100011234</t>
  </si>
  <si>
    <t>FRIHAMNEN (SH)</t>
  </si>
  <si>
    <t>100008876</t>
  </si>
  <si>
    <t>FURUSUND</t>
  </si>
  <si>
    <t>100011151</t>
  </si>
  <si>
    <t>FURUÖGRUND VST</t>
  </si>
  <si>
    <t>21-13.8333</t>
  </si>
  <si>
    <t>64-54.9500</t>
  </si>
  <si>
    <t>100005443</t>
  </si>
  <si>
    <t>GUBBEN VIND</t>
  </si>
  <si>
    <t>17-34.6835</t>
  </si>
  <si>
    <t>62-20.9959</t>
  </si>
  <si>
    <t>100005446</t>
  </si>
  <si>
    <t>GÅSÖREN VATTEN</t>
  </si>
  <si>
    <t>100008877</t>
  </si>
  <si>
    <t>GÅSÖREN VIND</t>
  </si>
  <si>
    <t>100012769</t>
  </si>
  <si>
    <t>GÄVLE HAMN</t>
  </si>
  <si>
    <t>17-13.884</t>
  </si>
  <si>
    <t>60-41.802</t>
  </si>
  <si>
    <t>100007218</t>
  </si>
  <si>
    <t>GÖTA</t>
  </si>
  <si>
    <t>100008879</t>
  </si>
  <si>
    <t>GÖTAÄLVBRON</t>
  </si>
  <si>
    <t>Göteborgs Stad Park och Naturförvaltningen</t>
  </si>
  <si>
    <t>100012842</t>
  </si>
  <si>
    <t>HALMSTAD VIND</t>
  </si>
  <si>
    <t>12-50.4260</t>
  </si>
  <si>
    <t>56-39.0626</t>
  </si>
  <si>
    <t>100011812</t>
  </si>
  <si>
    <t>HALMSTAD VST</t>
  </si>
  <si>
    <t>100005379</t>
  </si>
  <si>
    <t>HAMNESKÄR</t>
  </si>
  <si>
    <t>100008880</t>
  </si>
  <si>
    <t>HARGS HAMN</t>
  </si>
  <si>
    <t>100010952</t>
  </si>
  <si>
    <t>HELSINGBORG SYDHAMNEN (HHAB)</t>
  </si>
  <si>
    <t>12-41.824</t>
  </si>
  <si>
    <t>56-01.136</t>
  </si>
  <si>
    <t>Helsingborgs Hamn AB</t>
  </si>
  <si>
    <t>100006577</t>
  </si>
  <si>
    <t>HELSINGBORG VIND</t>
  </si>
  <si>
    <t>100011563</t>
  </si>
  <si>
    <t>HELSINGBORG VST</t>
  </si>
  <si>
    <t>12-41.238</t>
  </si>
  <si>
    <t>56-02.683</t>
  </si>
  <si>
    <t>100010951</t>
  </si>
  <si>
    <t>HELSINGBORG VÄSTHAMNEN (HHAB)</t>
  </si>
  <si>
    <t>12-41.486</t>
  </si>
  <si>
    <t>56-01.531</t>
  </si>
  <si>
    <t>100010949</t>
  </si>
  <si>
    <t>HELSINGBORG ÖRESUND (HHAB)</t>
  </si>
  <si>
    <t>12-41.2243</t>
  </si>
  <si>
    <t>56-01.1995</t>
  </si>
  <si>
    <t>100005399</t>
  </si>
  <si>
    <t>HJULSTABRON</t>
  </si>
  <si>
    <t>100011146</t>
  </si>
  <si>
    <t>HOBURG (SMHI)</t>
  </si>
  <si>
    <t>18-09.036</t>
  </si>
  <si>
    <t>56-55.295</t>
  </si>
  <si>
    <t>100011367</t>
  </si>
  <si>
    <t>HOLMSUND VST</t>
  </si>
  <si>
    <t>20-20.833</t>
  </si>
  <si>
    <t>63-41.720</t>
  </si>
  <si>
    <t>100011138</t>
  </si>
  <si>
    <t>HUSUM</t>
  </si>
  <si>
    <t>20-20.852</t>
  </si>
  <si>
    <t>63-41.725</t>
  </si>
  <si>
    <t>Metsä Board Sverige AB</t>
  </si>
  <si>
    <t>100011433</t>
  </si>
  <si>
    <t>HUVUDSKÄR HAVSBOJ (SMHI)</t>
  </si>
  <si>
    <t>19-09.852</t>
  </si>
  <si>
    <t>58-56.022</t>
  </si>
  <si>
    <t>100005392</t>
  </si>
  <si>
    <t>HÄVRINGE</t>
  </si>
  <si>
    <t>100010411</t>
  </si>
  <si>
    <t>JORDFALLSBRON</t>
  </si>
  <si>
    <t>12-00.544</t>
  </si>
  <si>
    <t>57-51.329</t>
  </si>
  <si>
    <t>100005391</t>
  </si>
  <si>
    <t>JUTEN</t>
  </si>
  <si>
    <t>100011296</t>
  </si>
  <si>
    <t>JUTEN DJURÖKVARN VST</t>
  </si>
  <si>
    <t>16-19.571</t>
  </si>
  <si>
    <t>58-37.553</t>
  </si>
  <si>
    <t>100005448</t>
  </si>
  <si>
    <t>KALIX-KARLSBORG VIND</t>
  </si>
  <si>
    <t>100011618</t>
  </si>
  <si>
    <t>KALIX-KARLSBORG VST</t>
  </si>
  <si>
    <t>100011150</t>
  </si>
  <si>
    <t>KALIX-STORÖN VST</t>
  </si>
  <si>
    <t>100006578</t>
  </si>
  <si>
    <t>KALMAR OSVALLSGRUND</t>
  </si>
  <si>
    <t>100005387</t>
  </si>
  <si>
    <t>KALMAR VIND</t>
  </si>
  <si>
    <t>100011435</t>
  </si>
  <si>
    <t>KALMAR VST</t>
  </si>
  <si>
    <t>100010959</t>
  </si>
  <si>
    <t>KAPELLSKÄR (SH)</t>
  </si>
  <si>
    <t>19-03.94578</t>
  </si>
  <si>
    <t>59-43.46598</t>
  </si>
  <si>
    <t>100006622</t>
  </si>
  <si>
    <t>KARET</t>
  </si>
  <si>
    <t>Göteborgs Hamn AB</t>
  </si>
  <si>
    <t>100006576</t>
  </si>
  <si>
    <t>KARLSHAMN  VIND</t>
  </si>
  <si>
    <t>100011583</t>
  </si>
  <si>
    <t>KARLSHAMN VST</t>
  </si>
  <si>
    <t>100010898</t>
  </si>
  <si>
    <t>KARLSRO</t>
  </si>
  <si>
    <t>16-10.934</t>
  </si>
  <si>
    <t>58-37.010</t>
  </si>
  <si>
    <t>100011368</t>
  </si>
  <si>
    <t>KLAGSHAMN VST</t>
  </si>
  <si>
    <t>100010929</t>
  </si>
  <si>
    <t>KNOLLS GRUND (SMHI)</t>
  </si>
  <si>
    <t>17-28.261</t>
  </si>
  <si>
    <t>57-32.954</t>
  </si>
  <si>
    <t>100011148</t>
  </si>
  <si>
    <t>KROSSHOLMEN</t>
  </si>
  <si>
    <t>11-46.238</t>
  </si>
  <si>
    <t>57-41.436</t>
  </si>
  <si>
    <t>100012051</t>
  </si>
  <si>
    <t>KUNGSHOLMSFORT VST</t>
  </si>
  <si>
    <t>100011167</t>
  </si>
  <si>
    <t>KUNGSVIK VST</t>
  </si>
  <si>
    <t>100010360</t>
  </si>
  <si>
    <t>KVICKSUND</t>
  </si>
  <si>
    <t>16-19.23501</t>
  </si>
  <si>
    <t>59-27.15133</t>
  </si>
  <si>
    <t>100010359</t>
  </si>
  <si>
    <t>KÄLSHOLMEN</t>
  </si>
  <si>
    <t>100005402</t>
  </si>
  <si>
    <t>KÖPING</t>
  </si>
  <si>
    <t>100012747</t>
  </si>
  <si>
    <t>KÖPMANHOLMEN</t>
  </si>
  <si>
    <t>18-35.2818</t>
  </si>
  <si>
    <t>63-10.3409</t>
  </si>
  <si>
    <t>Örnsköldsviks Hamn &amp; Logistik AB</t>
  </si>
  <si>
    <t>100008881</t>
  </si>
  <si>
    <t>LAGNÖGRUND</t>
  </si>
  <si>
    <t>100005395</t>
  </si>
  <si>
    <t>LANDSORT</t>
  </si>
  <si>
    <t>100011159</t>
  </si>
  <si>
    <t>LANDSORT NORRA VST</t>
  </si>
  <si>
    <t>17-51.533333</t>
  </si>
  <si>
    <t>58-46.133328</t>
  </si>
  <si>
    <t>100005447</t>
  </si>
  <si>
    <t>LARSGRUND</t>
  </si>
  <si>
    <t>100010378</t>
  </si>
  <si>
    <t>LILLA EDET FLÖDE</t>
  </si>
  <si>
    <t>12-07.1838</t>
  </si>
  <si>
    <t>58-08.1384</t>
  </si>
  <si>
    <t>100007220</t>
  </si>
  <si>
    <t>LILLA EDET NEDRE</t>
  </si>
  <si>
    <t>100007221</t>
  </si>
  <si>
    <t>LILLA EDET ÖVRE</t>
  </si>
  <si>
    <t>100007543</t>
  </si>
  <si>
    <t>LINASUNDET SIKT</t>
  </si>
  <si>
    <t>100006580</t>
  </si>
  <si>
    <t>LINASUNDET VATTENSTÅND</t>
  </si>
  <si>
    <t>100007033</t>
  </si>
  <si>
    <t>100005441</t>
  </si>
  <si>
    <t>LJUSNE VST</t>
  </si>
  <si>
    <t>100006944</t>
  </si>
  <si>
    <t>LUNDE SIKT</t>
  </si>
  <si>
    <t>100011621</t>
  </si>
  <si>
    <t>LUNDE VST</t>
  </si>
  <si>
    <t>17-52.584</t>
  </si>
  <si>
    <t>62-52.839</t>
  </si>
  <si>
    <t>100006587</t>
  </si>
  <si>
    <t>MALMÖ HAMN VIND</t>
  </si>
  <si>
    <t>100010381</t>
  </si>
  <si>
    <t>MALMÖ HAMN VST</t>
  </si>
  <si>
    <t>12-59.839</t>
  </si>
  <si>
    <t>55-36.817</t>
  </si>
  <si>
    <t>100010382</t>
  </si>
  <si>
    <t>MARSTRAND VST</t>
  </si>
  <si>
    <t>11-35.620</t>
  </si>
  <si>
    <t>57-53.218</t>
  </si>
  <si>
    <t>100008882</t>
  </si>
  <si>
    <t>MITHOLMARNA</t>
  </si>
  <si>
    <t>Wallhamn AB</t>
  </si>
  <si>
    <t>100006625</t>
  </si>
  <si>
    <t>MÅVHOLMSBÅDAN</t>
  </si>
  <si>
    <t>100006586</t>
  </si>
  <si>
    <t>100010502</t>
  </si>
  <si>
    <t>NORDKOSTER</t>
  </si>
  <si>
    <t>11-00.232</t>
  </si>
  <si>
    <t>58-53.522</t>
  </si>
  <si>
    <t>100011870</t>
  </si>
  <si>
    <t>NORDVALEN VATTEN</t>
  </si>
  <si>
    <t>20-46.3239600</t>
  </si>
  <si>
    <t>63-32.17229</t>
  </si>
  <si>
    <t>100011035</t>
  </si>
  <si>
    <t>NORDVALEN VÄDER</t>
  </si>
  <si>
    <t>100011825</t>
  </si>
  <si>
    <t>NORRKÖPING LAB VIVA</t>
  </si>
  <si>
    <t>16-11.9299</t>
  </si>
  <si>
    <t>58-35.4799</t>
  </si>
  <si>
    <t>100011822</t>
  </si>
  <si>
    <t>NORRKÖPING LAB VST 1</t>
  </si>
  <si>
    <t>100011823</t>
  </si>
  <si>
    <t>NORRKÖPING LAB VST 2</t>
  </si>
  <si>
    <t>100010387</t>
  </si>
  <si>
    <t>NORRKÖPING NK</t>
  </si>
  <si>
    <t>100012334</t>
  </si>
  <si>
    <t>NORVIK (SH)</t>
  </si>
  <si>
    <t>17-58.820</t>
  </si>
  <si>
    <t>58-56.277</t>
  </si>
  <si>
    <t>100011721</t>
  </si>
  <si>
    <t>NYNÄS FISKEHAMN VST</t>
  </si>
  <si>
    <t>17-57.215</t>
  </si>
  <si>
    <t>58-54.040</t>
  </si>
  <si>
    <t>100010958</t>
  </si>
  <si>
    <t>NYNÄS FÄRJETERMINAL (SH)</t>
  </si>
  <si>
    <t>17-57.50058</t>
  </si>
  <si>
    <t>58-54.48624</t>
  </si>
  <si>
    <t>100005401</t>
  </si>
  <si>
    <t>NYNÄS OLJEHAMN</t>
  </si>
  <si>
    <t>100011165</t>
  </si>
  <si>
    <t>ONSALA</t>
  </si>
  <si>
    <t>11-55.138834</t>
  </si>
  <si>
    <t>57-23.518830</t>
  </si>
  <si>
    <t>Onsala observatorium vattenstånd</t>
  </si>
  <si>
    <t>100008883</t>
  </si>
  <si>
    <t>OSKARSHAMN VIND</t>
  </si>
  <si>
    <t>Smålandshamnar AB</t>
  </si>
  <si>
    <t>100011155</t>
  </si>
  <si>
    <t>OSKARSHAMN VST</t>
  </si>
  <si>
    <t>16-28.790</t>
  </si>
  <si>
    <t>57-16.295</t>
  </si>
  <si>
    <t>100011380</t>
  </si>
  <si>
    <t>17-07.485</t>
  </si>
  <si>
    <t>58-39.703</t>
  </si>
  <si>
    <t>100010957</t>
  </si>
  <si>
    <t>PITE ÄLV (SKEKRAFT)</t>
  </si>
  <si>
    <t>21-25.224</t>
  </si>
  <si>
    <t>65-18.594</t>
  </si>
  <si>
    <t>100010954</t>
  </si>
  <si>
    <t>PÅLGRUNDEN (SMHI)</t>
  </si>
  <si>
    <t>13-09.086</t>
  </si>
  <si>
    <t>58-45.308</t>
  </si>
  <si>
    <t>100011152</t>
  </si>
  <si>
    <t>RATAN VST</t>
  </si>
  <si>
    <t>20-53.7000</t>
  </si>
  <si>
    <t>63-59.1660</t>
  </si>
  <si>
    <t>100005436</t>
  </si>
  <si>
    <t>REMMARGRUND</t>
  </si>
  <si>
    <t>100008884</t>
  </si>
  <si>
    <t>RENÖRAGRUNDET</t>
  </si>
  <si>
    <t>100005433</t>
  </si>
  <si>
    <t>REVENGEGRUNDET</t>
  </si>
  <si>
    <t>100005445</t>
  </si>
  <si>
    <t>REVET</t>
  </si>
  <si>
    <t>20-20.460</t>
  </si>
  <si>
    <t>63-39.328</t>
  </si>
  <si>
    <t>100008885</t>
  </si>
  <si>
    <t xml:space="preserve">RINGHALS VIND </t>
  </si>
  <si>
    <t>Ringhals AB</t>
  </si>
  <si>
    <t>100011182</t>
  </si>
  <si>
    <t>RINGHALS VST</t>
  </si>
  <si>
    <t>12-06.750</t>
  </si>
  <si>
    <t>57-14.985</t>
  </si>
  <si>
    <t>100010358</t>
  </si>
  <si>
    <t>RYSSMASTERNA</t>
  </si>
  <si>
    <t>18-32.867081658</t>
  </si>
  <si>
    <t>59-31.897190142</t>
  </si>
  <si>
    <t>100008886</t>
  </si>
  <si>
    <t>SIMPEVARP VIND</t>
  </si>
  <si>
    <t>SKB AB Clab</t>
  </si>
  <si>
    <t>100011424</t>
  </si>
  <si>
    <t>SIMPEVARP VST</t>
  </si>
  <si>
    <t>100011156</t>
  </si>
  <si>
    <t>SIMRISHAMN VST</t>
  </si>
  <si>
    <t>14-21.4680</t>
  </si>
  <si>
    <t>55-33.4500</t>
  </si>
  <si>
    <t>100007196</t>
  </si>
  <si>
    <t>SJÖTORP</t>
  </si>
  <si>
    <t>100005444</t>
  </si>
  <si>
    <t>SKAGSUDDE VIND</t>
  </si>
  <si>
    <t>100010384</t>
  </si>
  <si>
    <t>SKAGSUDDE VST</t>
  </si>
  <si>
    <t>19-00.714</t>
  </si>
  <si>
    <t>63-11.433</t>
  </si>
  <si>
    <t>100012331</t>
  </si>
  <si>
    <t>SKALLEN</t>
  </si>
  <si>
    <t>100011157</t>
  </si>
  <si>
    <t>SKANÖR VST</t>
  </si>
  <si>
    <t>12-49.7640</t>
  </si>
  <si>
    <t>55-25.0020</t>
  </si>
  <si>
    <t>100007193</t>
  </si>
  <si>
    <t>SKOGHALL</t>
  </si>
  <si>
    <t>100008887</t>
  </si>
  <si>
    <t>SKÖTKOBBEN</t>
  </si>
  <si>
    <t>100006579</t>
  </si>
  <si>
    <t>SLITE VIND</t>
  </si>
  <si>
    <t>100010383</t>
  </si>
  <si>
    <t>SLITE VST</t>
  </si>
  <si>
    <t>18-48.539</t>
  </si>
  <si>
    <t>57-42.365</t>
  </si>
  <si>
    <t>100011824</t>
  </si>
  <si>
    <t>SMHI LAB VST</t>
  </si>
  <si>
    <t>16-08.862</t>
  </si>
  <si>
    <t>58-34.947</t>
  </si>
  <si>
    <t>100011164</t>
  </si>
  <si>
    <t>SMÖGEN VST</t>
  </si>
  <si>
    <t>100011153</t>
  </si>
  <si>
    <t>SPIKARNA VST</t>
  </si>
  <si>
    <t>17-31.8660</t>
  </si>
  <si>
    <t>62-21.7980</t>
  </si>
  <si>
    <t>100007727</t>
  </si>
  <si>
    <t>STALLBACKABRON SIKT</t>
  </si>
  <si>
    <t>100011246</t>
  </si>
  <si>
    <t xml:space="preserve">STENUNGSUND (BOREALIS) </t>
  </si>
  <si>
    <t>11-48.967</t>
  </si>
  <si>
    <t>58-05.310</t>
  </si>
  <si>
    <t>100011245</t>
  </si>
  <si>
    <t>STENUNGSUND (PETROPORT)</t>
  </si>
  <si>
    <t>11-48.76314</t>
  </si>
  <si>
    <t>58-05.46786</t>
  </si>
  <si>
    <t>PetroPort AB</t>
  </si>
  <si>
    <t>100011248</t>
  </si>
  <si>
    <t>STENUNGSUND (VATTENFALL)</t>
  </si>
  <si>
    <t>11-48.77202</t>
  </si>
  <si>
    <t>58-05.33436</t>
  </si>
  <si>
    <t>Vattenfall Västsverige</t>
  </si>
  <si>
    <t>100011183</t>
  </si>
  <si>
    <t>STENUNGSUND VST</t>
  </si>
  <si>
    <t>11-49.240</t>
  </si>
  <si>
    <t>58-05.336</t>
  </si>
  <si>
    <t>100011154</t>
  </si>
  <si>
    <t>STOCKHOLM VST</t>
  </si>
  <si>
    <t>18-04.9020</t>
  </si>
  <si>
    <t>59-19.4520</t>
  </si>
  <si>
    <t>100006572</t>
  </si>
  <si>
    <t>STRETUDDEN</t>
  </si>
  <si>
    <t>100010377</t>
  </si>
  <si>
    <t>STRÖMÖREN VIND</t>
  </si>
  <si>
    <t>22-14.296</t>
  </si>
  <si>
    <t>65-32.982</t>
  </si>
  <si>
    <t>100011619</t>
  </si>
  <si>
    <t>STRÖMÖREN VST</t>
  </si>
  <si>
    <t>100006585</t>
  </si>
  <si>
    <t>STÖTBOTTEN</t>
  </si>
  <si>
    <t>100011637</t>
  </si>
  <si>
    <t>SUBBEBERGET</t>
  </si>
  <si>
    <t>12-14.21441</t>
  </si>
  <si>
    <t>57-05.28911</t>
  </si>
  <si>
    <t>100007194</t>
  </si>
  <si>
    <t>SUNNANÅ</t>
  </si>
  <si>
    <t>100005437</t>
  </si>
  <si>
    <t>SVARTKLUBBEN</t>
  </si>
  <si>
    <t>100011754</t>
  </si>
  <si>
    <t>SÖDERARM (SMHI)</t>
  </si>
  <si>
    <t>19-24.322</t>
  </si>
  <si>
    <t>59-45.221</t>
  </si>
  <si>
    <t>100005397</t>
  </si>
  <si>
    <t>SÖDERTÄLJE SALTSJÖN</t>
  </si>
  <si>
    <t>100011226</t>
  </si>
  <si>
    <t>TAVASTLAND (SMHI)</t>
  </si>
  <si>
    <t>11-53.583</t>
  </si>
  <si>
    <t>57-41.181</t>
  </si>
  <si>
    <t>100010539</t>
  </si>
  <si>
    <t>TINGSTAD VIND</t>
  </si>
  <si>
    <t>11-59.319</t>
  </si>
  <si>
    <t>57-43.323</t>
  </si>
  <si>
    <t>100011758</t>
  </si>
  <si>
    <t>TINGSTAD VST</t>
  </si>
  <si>
    <t>11-59.217</t>
  </si>
  <si>
    <t>57-43.388</t>
  </si>
  <si>
    <t>100010345</t>
  </si>
  <si>
    <t>TORSHAMNEN KAJ 800</t>
  </si>
  <si>
    <t>11-47.292</t>
  </si>
  <si>
    <t>57-40.831</t>
  </si>
  <si>
    <t>100010379</t>
  </si>
  <si>
    <t>TROLLHÄTTAN</t>
  </si>
  <si>
    <t>12-16.566</t>
  </si>
  <si>
    <t>58-16.5828</t>
  </si>
  <si>
    <t>100008888</t>
  </si>
  <si>
    <t>TÅN</t>
  </si>
  <si>
    <t>100011620</t>
  </si>
  <si>
    <t>TÅNGUDDEN VST</t>
  </si>
  <si>
    <t>11-52.329</t>
  </si>
  <si>
    <t>57-40.924</t>
  </si>
  <si>
    <t>100010955</t>
  </si>
  <si>
    <t>UDDEVALLA VST</t>
  </si>
  <si>
    <t>11-53.679</t>
  </si>
  <si>
    <t>58-20.404</t>
  </si>
  <si>
    <t>100005385</t>
  </si>
  <si>
    <t>VARBERG VST</t>
  </si>
  <si>
    <t>12-14.4926</t>
  </si>
  <si>
    <t>57-06.5739</t>
  </si>
  <si>
    <t>100007227</t>
  </si>
  <si>
    <t>VARGÖN TROLLHÄTTAN</t>
  </si>
  <si>
    <t>100011163</t>
  </si>
  <si>
    <t>VERKÖ</t>
  </si>
  <si>
    <t>15-37.7367</t>
  </si>
  <si>
    <t>56-09.8633</t>
  </si>
  <si>
    <t>KBP i Karlskrona AB</t>
  </si>
  <si>
    <t>100011162</t>
  </si>
  <si>
    <t>VIKEN VST</t>
  </si>
  <si>
    <t>100005381</t>
  </si>
  <si>
    <t>VINGA VIND</t>
  </si>
  <si>
    <t>100011587</t>
  </si>
  <si>
    <t>VINGA VST</t>
  </si>
  <si>
    <t>11-36.526</t>
  </si>
  <si>
    <t>57-37.898</t>
  </si>
  <si>
    <t>100005390</t>
  </si>
  <si>
    <t>100005389</t>
  </si>
  <si>
    <t>VISBY VIND</t>
  </si>
  <si>
    <t>100011180</t>
  </si>
  <si>
    <t>VISBY VST</t>
  </si>
  <si>
    <t>18-17.720</t>
  </si>
  <si>
    <t>57-38.357</t>
  </si>
  <si>
    <t>100010956</t>
  </si>
  <si>
    <t>VÄDERÖARNA VÅGBOJ (SMHI)</t>
  </si>
  <si>
    <t>10-55.9184</t>
  </si>
  <si>
    <t>58-29.2925</t>
  </si>
  <si>
    <t>100008889</t>
  </si>
  <si>
    <t>VÄRMDÖ-GARPEN</t>
  </si>
  <si>
    <t>100005388</t>
  </si>
  <si>
    <t>VÄSTERBÅDAN</t>
  </si>
  <si>
    <t>16-44.497</t>
  </si>
  <si>
    <t>57-44.845</t>
  </si>
  <si>
    <t>100010380</t>
  </si>
  <si>
    <t>VÄSTERVIK VST</t>
  </si>
  <si>
    <t>16-40.482</t>
  </si>
  <si>
    <t>57-44.889</t>
  </si>
  <si>
    <t>100005386</t>
  </si>
  <si>
    <t>YSTAD VIND</t>
  </si>
  <si>
    <t>Ystad Hamn Logistik AB</t>
  </si>
  <si>
    <t>100011584</t>
  </si>
  <si>
    <t>YSTAD VST</t>
  </si>
  <si>
    <t>100007725</t>
  </si>
  <si>
    <t>ÅKERSTRÖM</t>
  </si>
  <si>
    <t>100008890</t>
  </si>
  <si>
    <t>ÅLANDSGRUNDET</t>
  </si>
  <si>
    <t>100007219</t>
  </si>
  <si>
    <t>ÄLVÄNGEN</t>
  </si>
  <si>
    <t>100011158</t>
  </si>
  <si>
    <t>ÖLANDS NORRA VST</t>
  </si>
  <si>
    <t>17-05.825</t>
  </si>
  <si>
    <t>57-21.975</t>
  </si>
  <si>
    <t>100011144</t>
  </si>
  <si>
    <t>ÖLANDS SÖDRA UDDE</t>
  </si>
  <si>
    <t>16-24.030</t>
  </si>
  <si>
    <t>56-11.862</t>
  </si>
  <si>
    <t>SYSTEM</t>
  </si>
  <si>
    <t>VIVA</t>
  </si>
  <si>
    <t>POSEIDON</t>
  </si>
  <si>
    <t>SMHI/Sjöfartsverket</t>
  </si>
  <si>
    <t>Brofjorden WR</t>
  </si>
  <si>
    <t>Piteå Älv (Skekraft)</t>
  </si>
  <si>
    <t>Frej</t>
  </si>
  <si>
    <t>Oden</t>
  </si>
  <si>
    <t>Atle</t>
  </si>
  <si>
    <t>Ymer</t>
  </si>
  <si>
    <t>Ale</t>
  </si>
  <si>
    <t>Krossholmen (SMHI)</t>
  </si>
  <si>
    <t>NEDLAGD</t>
  </si>
  <si>
    <t>Kalix Storön</t>
  </si>
  <si>
    <t>Göteborgs Universitet</t>
  </si>
  <si>
    <t>Vinga2</t>
  </si>
  <si>
    <t>Måvholmsbådan</t>
  </si>
  <si>
    <t>Göteborg-Torshamnen</t>
  </si>
  <si>
    <t>Tångudden GBG Hamn</t>
  </si>
  <si>
    <t>Göteborg-Tingstadstunneln</t>
  </si>
  <si>
    <t>Göteborg-Lärjeholm</t>
  </si>
  <si>
    <t>Göteborg-Agnesberg</t>
  </si>
  <si>
    <t>Marstrand</t>
  </si>
  <si>
    <t>Stenungsund</t>
  </si>
  <si>
    <t>Uddevalla</t>
  </si>
  <si>
    <t>Kristineberg</t>
  </si>
  <si>
    <t>Smögen</t>
  </si>
  <si>
    <t>Kungsvik</t>
  </si>
  <si>
    <t>Brofjorden</t>
  </si>
  <si>
    <t>Varberg2</t>
  </si>
  <si>
    <t>Onsala</t>
  </si>
  <si>
    <t>Göteborg-Eriksberg</t>
  </si>
  <si>
    <t>Strömören</t>
  </si>
  <si>
    <t>Furuögrund</t>
  </si>
  <si>
    <t>Gåsören</t>
  </si>
  <si>
    <t>Ratan</t>
  </si>
  <si>
    <t>Holmsund</t>
  </si>
  <si>
    <t>Skagsudde2</t>
  </si>
  <si>
    <t>Lunde</t>
  </si>
  <si>
    <t>Spikarna</t>
  </si>
  <si>
    <t>Ljusne Orrskärskajen</t>
  </si>
  <si>
    <t>Bönan</t>
  </si>
  <si>
    <t>Gävle</t>
  </si>
  <si>
    <t>Stockholm</t>
  </si>
  <si>
    <t>Nynäs Fiskehamn</t>
  </si>
  <si>
    <t>Landsort Norra</t>
  </si>
  <si>
    <t>E4 Bron Södertälje</t>
  </si>
  <si>
    <t>Oxelösund Vinterklasen</t>
  </si>
  <si>
    <t>Juten</t>
  </si>
  <si>
    <t>Arkö</t>
  </si>
  <si>
    <t>Västervik</t>
  </si>
  <si>
    <t>Slite</t>
  </si>
  <si>
    <t>Visby</t>
  </si>
  <si>
    <t>Simpevarp</t>
  </si>
  <si>
    <t>Ölands norra udde</t>
  </si>
  <si>
    <t>Oskarshamn</t>
  </si>
  <si>
    <t>Kalmar</t>
  </si>
  <si>
    <t>Kungsholmsfort</t>
  </si>
  <si>
    <t>Karlshamn</t>
  </si>
  <si>
    <t>Simrishamn</t>
  </si>
  <si>
    <t>Ystad2</t>
  </si>
  <si>
    <t>Skanör</t>
  </si>
  <si>
    <t>Klagshamn</t>
  </si>
  <si>
    <t>Flinten 16</t>
  </si>
  <si>
    <t>Flinten 7</t>
  </si>
  <si>
    <t>Malmö Hamn</t>
  </si>
  <si>
    <t>Helsingborg</t>
  </si>
  <si>
    <t>Viken</t>
  </si>
  <si>
    <t>Halmstad</t>
  </si>
  <si>
    <t>Falkenberg</t>
  </si>
  <si>
    <t>NK</t>
  </si>
  <si>
    <t>Gävle hamn (Gävle Hamn AB)</t>
  </si>
  <si>
    <t>Göta Älvbron</t>
  </si>
  <si>
    <t>Göta</t>
  </si>
  <si>
    <t>Furusund</t>
  </si>
  <si>
    <t>Mitholmarna</t>
  </si>
  <si>
    <t>Mälaren</t>
  </si>
  <si>
    <t>Dalbobron</t>
  </si>
  <si>
    <t>Eriksberg (GBG Stad)</t>
  </si>
  <si>
    <t>Agnesberg (GBG Stad)</t>
  </si>
  <si>
    <t>Tingstad</t>
  </si>
  <si>
    <t>Vargön</t>
  </si>
  <si>
    <t>Västerbådan</t>
  </si>
  <si>
    <t>Värmdö-Garpen</t>
  </si>
  <si>
    <t>Ålandsgrundet</t>
  </si>
  <si>
    <t>Åkerström</t>
  </si>
  <si>
    <t>Södertälje Saltsjön</t>
  </si>
  <si>
    <t>Tån sikt</t>
  </si>
  <si>
    <t>Trollhättan</t>
  </si>
  <si>
    <t>Svartklubben</t>
  </si>
  <si>
    <t>Sunnanå</t>
  </si>
  <si>
    <t>Svanö</t>
  </si>
  <si>
    <t>Marviken</t>
  </si>
  <si>
    <t>Loudden</t>
  </si>
  <si>
    <t>Brandalssund</t>
  </si>
  <si>
    <t>Brinkebergskulle Övre</t>
  </si>
  <si>
    <t>Eggegrund</t>
  </si>
  <si>
    <t>Flinten SW</t>
  </si>
  <si>
    <t>Hamneskär</t>
  </si>
  <si>
    <t>Hargs Hamn</t>
  </si>
  <si>
    <t>Helsingborg Sydhamnen</t>
  </si>
  <si>
    <t>Helsingborg Västhamnen</t>
  </si>
  <si>
    <t>HK</t>
  </si>
  <si>
    <t>HK 2</t>
  </si>
  <si>
    <t>Hävringe</t>
  </si>
  <si>
    <t>Kalix Karlsborg</t>
  </si>
  <si>
    <t>Kalmar Current</t>
  </si>
  <si>
    <t>Kappelskär SH</t>
  </si>
  <si>
    <t>Karet GBG Hamn</t>
  </si>
  <si>
    <t>Köping</t>
  </si>
  <si>
    <t>Lagnögrund</t>
  </si>
  <si>
    <t>Landsort</t>
  </si>
  <si>
    <t>Larsgrund</t>
  </si>
  <si>
    <t>Lilla Edet Nedre</t>
  </si>
  <si>
    <t>Lilla Edet Ström</t>
  </si>
  <si>
    <t>Lilla Edet Övre</t>
  </si>
  <si>
    <t>Linasundet</t>
  </si>
  <si>
    <t>Nynäshamn</t>
  </si>
  <si>
    <t>Remmargrund</t>
  </si>
  <si>
    <t>Renöragrundet</t>
  </si>
  <si>
    <t>Revengegrundet</t>
  </si>
  <si>
    <t>Sjötorp</t>
  </si>
  <si>
    <t>Skoghall</t>
  </si>
  <si>
    <t>Skötkobben</t>
  </si>
  <si>
    <t>Stallbackabron</t>
  </si>
  <si>
    <t>Stretudden</t>
  </si>
  <si>
    <t>Stötbotten</t>
  </si>
  <si>
    <t>PLANERAD</t>
  </si>
  <si>
    <t>STATION_ID</t>
  </si>
  <si>
    <t>GoteborgAgnesberg</t>
  </si>
  <si>
    <t>GoteborgEriksberg</t>
  </si>
  <si>
    <t>Arko</t>
  </si>
  <si>
    <t>Barseback</t>
  </si>
  <si>
    <t>BrinkebergskulleNedre</t>
  </si>
  <si>
    <t>BrinkebergskulleOvre</t>
  </si>
  <si>
    <t>Bonan</t>
  </si>
  <si>
    <t>E4BronSodertalje</t>
  </si>
  <si>
    <t>Flinten16</t>
  </si>
  <si>
    <t>Flinten7</t>
  </si>
  <si>
    <t>Furuogrund</t>
  </si>
  <si>
    <t>Gasoren</t>
  </si>
  <si>
    <t>Gavle</t>
  </si>
  <si>
    <t>GoteborgGotaalvbron</t>
  </si>
  <si>
    <t>Hjulstabron</t>
  </si>
  <si>
    <t>KalixStoron</t>
  </si>
  <si>
    <t>KalixKarlsborg</t>
  </si>
  <si>
    <t>Karlsro</t>
  </si>
  <si>
    <t>Norvik</t>
  </si>
  <si>
    <t>LandsortNorra</t>
  </si>
  <si>
    <t>LillaEdet</t>
  </si>
  <si>
    <t>Landsort2</t>
  </si>
  <si>
    <t>Koping</t>
  </si>
  <si>
    <t>LillaEdetNedre</t>
  </si>
  <si>
    <t>SmhiLabVst</t>
  </si>
  <si>
    <t>LillaEdetOvre</t>
  </si>
  <si>
    <t>Kristineberg1</t>
  </si>
  <si>
    <t>GoteborgKrossholmen</t>
  </si>
  <si>
    <t>GoteborgLarjeholm</t>
  </si>
  <si>
    <t>MalmoHamn</t>
  </si>
  <si>
    <t>Mavholmsbadan</t>
  </si>
  <si>
    <t>Malaren</t>
  </si>
  <si>
    <t>NorrkopingLabVst1</t>
  </si>
  <si>
    <t>NorrkopingLabVst2</t>
  </si>
  <si>
    <t>NynasFiskehamn</t>
  </si>
  <si>
    <t>OxelosundVinterklasen</t>
  </si>
  <si>
    <t>Sjotorp</t>
  </si>
  <si>
    <t>Skanor</t>
  </si>
  <si>
    <t>Skotkobben</t>
  </si>
  <si>
    <t>Smogen</t>
  </si>
  <si>
    <t>Stromoren</t>
  </si>
  <si>
    <t>?</t>
  </si>
  <si>
    <t>STATUS</t>
  </si>
  <si>
    <t>Sunnana</t>
  </si>
  <si>
    <t>Svano</t>
  </si>
  <si>
    <t>GoteborgTingstadstunneln</t>
  </si>
  <si>
    <t>Vargon</t>
  </si>
  <si>
    <t>Verko</t>
  </si>
  <si>
    <t>Vastervik</t>
  </si>
  <si>
    <t>Akerstrom</t>
  </si>
  <si>
    <t>OlandsNorraUdde</t>
  </si>
  <si>
    <t>Blockhusudden</t>
  </si>
  <si>
    <t>BrofjordenWR</t>
  </si>
  <si>
    <t>BrofjordenTavla1</t>
  </si>
  <si>
    <t>FinngrundetWR</t>
  </si>
  <si>
    <t>FlintenSV</t>
  </si>
  <si>
    <t>Fogden</t>
  </si>
  <si>
    <t>Gubben</t>
  </si>
  <si>
    <t>Gaveskar</t>
  </si>
  <si>
    <t>Gota</t>
  </si>
  <si>
    <t>Hamneskar</t>
  </si>
  <si>
    <t>HargsHamn</t>
  </si>
  <si>
    <t>HelsingborgSydhamnen</t>
  </si>
  <si>
    <t>HelsingborgVasthamnen</t>
  </si>
  <si>
    <t>HelsingborgOresund</t>
  </si>
  <si>
    <t>Husum</t>
  </si>
  <si>
    <t>HK2</t>
  </si>
  <si>
    <t>HuvudskarOst</t>
  </si>
  <si>
    <t>Havringe</t>
  </si>
  <si>
    <t>KalmarCurrent</t>
  </si>
  <si>
    <t>KaretGBGHamn</t>
  </si>
  <si>
    <t>Kapellskar</t>
  </si>
  <si>
    <t>Kvicksund</t>
  </si>
  <si>
    <t>Kalsholmen</t>
  </si>
  <si>
    <t>Kopmanholmen</t>
  </si>
  <si>
    <t>Lagnogrund</t>
  </si>
  <si>
    <t>Nordvalen</t>
  </si>
  <si>
    <t>Nordkoster</t>
  </si>
  <si>
    <t>NorrkopingLabVIVA</t>
  </si>
  <si>
    <t>Norrkopingkontoret</t>
  </si>
  <si>
    <t>NynasFarjeterminal</t>
  </si>
  <si>
    <t>NynasOljehamn</t>
  </si>
  <si>
    <t>PiteAlv</t>
  </si>
  <si>
    <t>Revet</t>
  </si>
  <si>
    <t>Ryssmasterna</t>
  </si>
  <si>
    <t>Renoragrund</t>
  </si>
  <si>
    <t>Skallen</t>
  </si>
  <si>
    <t>StenungsundBorealis</t>
  </si>
  <si>
    <t>StenungsundPetroport</t>
  </si>
  <si>
    <t>StenungsundVattenfall</t>
  </si>
  <si>
    <t>Subbeberget</t>
  </si>
  <si>
    <t>Stotbotten</t>
  </si>
  <si>
    <t>SodertaljeSaltsjon</t>
  </si>
  <si>
    <t>Tavastland</t>
  </si>
  <si>
    <t>Trollhattan</t>
  </si>
  <si>
    <t>Tan</t>
  </si>
  <si>
    <t>VaderoarnaWR</t>
  </si>
  <si>
    <t>VarmdoGarpen</t>
  </si>
  <si>
    <t>Vasterbadan</t>
  </si>
  <si>
    <t>Alandsgrundet</t>
  </si>
  <si>
    <t>Alvangen</t>
  </si>
  <si>
    <t>GoteborgTorshamnen</t>
  </si>
  <si>
    <t>FL</t>
  </si>
  <si>
    <t>Flödesmätare</t>
  </si>
  <si>
    <t>Finngrundet WR</t>
  </si>
  <si>
    <t>Huvudskär Ost</t>
  </si>
  <si>
    <t>Knollsgrund</t>
  </si>
  <si>
    <t>Vaderöarna WR</t>
  </si>
  <si>
    <t>HoburgA</t>
  </si>
  <si>
    <t>SoderarmA</t>
  </si>
  <si>
    <t>Söderarm A</t>
  </si>
  <si>
    <t>Hoburg A</t>
  </si>
  <si>
    <t>OlandsSodraUddeA</t>
  </si>
  <si>
    <t>NordkosterA</t>
  </si>
  <si>
    <t>Nordkoster A</t>
  </si>
  <si>
    <t>AdelsoA</t>
  </si>
  <si>
    <t>Adelsö A</t>
  </si>
  <si>
    <t>OC</t>
  </si>
  <si>
    <t>TG/OC</t>
  </si>
  <si>
    <t>OC/MET</t>
  </si>
  <si>
    <t>TG/OC/MET</t>
  </si>
  <si>
    <t>Lufttryck</t>
  </si>
  <si>
    <t>Oceanografisk station (boj)</t>
  </si>
  <si>
    <t>STATIONSTYP</t>
  </si>
  <si>
    <t>TanguddenGBGHamn</t>
  </si>
  <si>
    <t>TorshamnenGBGHamn</t>
  </si>
  <si>
    <t>HÖJD</t>
  </si>
  <si>
    <t>Haparanda</t>
  </si>
  <si>
    <t>Skagsudde</t>
  </si>
  <si>
    <t>Draghällan</t>
  </si>
  <si>
    <t>Draghallan</t>
  </si>
  <si>
    <t>Bjorn</t>
  </si>
  <si>
    <t>Björn</t>
  </si>
  <si>
    <t>Landsort1</t>
  </si>
  <si>
    <t>Ystad</t>
  </si>
  <si>
    <t>Ahus</t>
  </si>
  <si>
    <t>Åhus</t>
  </si>
  <si>
    <t>NedreStockholm</t>
  </si>
  <si>
    <t>Nedre Stockholm</t>
  </si>
  <si>
    <t>Malmo</t>
  </si>
  <si>
    <t>Malmö</t>
  </si>
  <si>
    <t>Angelholm</t>
  </si>
  <si>
    <t>Ängelholm</t>
  </si>
  <si>
    <t>Varberg</t>
  </si>
  <si>
    <t>Varberg1</t>
  </si>
  <si>
    <t>GoteborgRingon</t>
  </si>
  <si>
    <t>Göteborg-Ringön</t>
  </si>
  <si>
    <t>GoteborgKlippan</t>
  </si>
  <si>
    <t>Goteborg-Klippan</t>
  </si>
  <si>
    <t>Spikarna2</t>
  </si>
  <si>
    <t>Dalbosjon</t>
  </si>
  <si>
    <t>Dalbosjön</t>
  </si>
  <si>
    <t>METNO</t>
  </si>
  <si>
    <t>Försvarsmakten</t>
  </si>
  <si>
    <t>LasoOstWR</t>
  </si>
  <si>
    <t>Läsö Ost WR</t>
  </si>
  <si>
    <t>HuvudskarOstWR</t>
  </si>
  <si>
    <t>Huvudskär Ost WR</t>
  </si>
  <si>
    <t>Vaderoarna</t>
  </si>
  <si>
    <t>Väderöarna</t>
  </si>
  <si>
    <t>Norrbyn</t>
  </si>
  <si>
    <t>Asko</t>
  </si>
  <si>
    <t>Askö</t>
  </si>
  <si>
    <t>OlandOst</t>
  </si>
  <si>
    <t>Öland Ost</t>
  </si>
  <si>
    <t>Havstensfjord</t>
  </si>
  <si>
    <t>Koster</t>
  </si>
  <si>
    <t>Tangesund</t>
  </si>
  <si>
    <t>Tångesund</t>
  </si>
  <si>
    <t>LysekilWR</t>
  </si>
  <si>
    <t>Lysekil WR</t>
  </si>
  <si>
    <t>HarsfjardenWR</t>
  </si>
  <si>
    <t>Hårsfjärden WR</t>
  </si>
  <si>
    <t>MysingenWR</t>
  </si>
  <si>
    <t>Mysingen WR</t>
  </si>
  <si>
    <t>L9BS</t>
  </si>
  <si>
    <t>L9 Bottensystem</t>
  </si>
  <si>
    <t>HanobuktenBS</t>
  </si>
  <si>
    <t>Hanöbukten Bottensystem</t>
  </si>
  <si>
    <t>OlandSodraBS</t>
  </si>
  <si>
    <t>Öland Södra Bottensystem</t>
  </si>
  <si>
    <t>HavstensfjordBS</t>
  </si>
  <si>
    <t>Havstensfjord Bottensystem</t>
  </si>
  <si>
    <t>Hanobukten2BS</t>
  </si>
  <si>
    <t>Hanöbukten 2 Bottensystem</t>
  </si>
  <si>
    <t>Hanobukten3BS</t>
  </si>
  <si>
    <t>Hanöbukten 3 Bottensystem</t>
  </si>
  <si>
    <t>Flinten7BS</t>
  </si>
  <si>
    <t>Flinten7 Bottensystem</t>
  </si>
  <si>
    <t>UMF</t>
  </si>
  <si>
    <t>SMF</t>
  </si>
  <si>
    <t>LNU</t>
  </si>
  <si>
    <t>KMRC</t>
  </si>
  <si>
    <t>Sydostbrotten</t>
  </si>
  <si>
    <t>Sydostbrotten Fyrskepp</t>
  </si>
  <si>
    <t>Finngrundet</t>
  </si>
  <si>
    <t>Finngrundet Fyrskepp</t>
  </si>
  <si>
    <t>Grundkallen</t>
  </si>
  <si>
    <t>Grundkallen Fyrskepp</t>
  </si>
  <si>
    <t>SvenskaBjorn</t>
  </si>
  <si>
    <t>Svenska Björn Fyrskepp</t>
  </si>
  <si>
    <t>Kopparstenarna</t>
  </si>
  <si>
    <t>Kopparstenarna Fyrskepp</t>
  </si>
  <si>
    <t>Hävringe Fyrskepp</t>
  </si>
  <si>
    <t>Landsort Hydstn</t>
  </si>
  <si>
    <t>OlandsRev</t>
  </si>
  <si>
    <t>Ölands rev Fyrskepp</t>
  </si>
  <si>
    <t>Utklippan</t>
  </si>
  <si>
    <t>Utklippan Hydstn</t>
  </si>
  <si>
    <t>Falsterborev</t>
  </si>
  <si>
    <t>Falsterborev Fyrskepp</t>
  </si>
  <si>
    <t>Oskarsgrundet</t>
  </si>
  <si>
    <t>Oskarsgrundet Fyrskepp</t>
  </si>
  <si>
    <t>Kalkgrundet</t>
  </si>
  <si>
    <t>Kalkgrundet Fyrskepp</t>
  </si>
  <si>
    <t>Svinbadan</t>
  </si>
  <si>
    <t>Svinbådan Fyrskepp</t>
  </si>
  <si>
    <t>Varberg Hydstn</t>
  </si>
  <si>
    <t>Fladen</t>
  </si>
  <si>
    <t>Fladen Fyrskepp</t>
  </si>
  <si>
    <t>Vinga</t>
  </si>
  <si>
    <t>Vinga Fyrskepp</t>
  </si>
  <si>
    <t>PaterNoster</t>
  </si>
  <si>
    <t>Pater Noster Hydstn</t>
  </si>
  <si>
    <t>Hattan</t>
  </si>
  <si>
    <t>Hättan Hydstn</t>
  </si>
  <si>
    <t>Borno</t>
  </si>
  <si>
    <t>Bornö Hydstn</t>
  </si>
  <si>
    <t>Vaderobod</t>
  </si>
  <si>
    <t>Väderöbod Hydstn</t>
  </si>
  <si>
    <t>Grisbadarna</t>
  </si>
  <si>
    <t>Grisbådarna Fyrskepp</t>
  </si>
  <si>
    <t>Dynekil</t>
  </si>
  <si>
    <t>Dynekil Hydstn</t>
  </si>
  <si>
    <t>Sadvajaure</t>
  </si>
  <si>
    <t>FinskaEnskar</t>
  </si>
  <si>
    <t>Orskar</t>
  </si>
  <si>
    <t>SvenskaBjorn2</t>
  </si>
  <si>
    <t>FaaRodkobb</t>
  </si>
  <si>
    <t>Almagrundet</t>
  </si>
  <si>
    <t>GustavDahlen</t>
  </si>
  <si>
    <t>Visby1</t>
  </si>
  <si>
    <t>Ostergarn</t>
  </si>
  <si>
    <t>Kalmarsund</t>
  </si>
  <si>
    <t>Kristianopel</t>
  </si>
  <si>
    <t>OlandsSodraGrund</t>
  </si>
  <si>
    <t>OlandWaverider</t>
  </si>
  <si>
    <t>Karlskrona</t>
  </si>
  <si>
    <t>Laholmsbukten</t>
  </si>
  <si>
    <t>Oskarsgrundet2</t>
  </si>
  <si>
    <t>Fladen2</t>
  </si>
  <si>
    <t>Laso</t>
  </si>
  <si>
    <t>Trubaduren</t>
  </si>
  <si>
    <t>Vaderoarna1</t>
  </si>
  <si>
    <t>Vaderoarna2</t>
  </si>
  <si>
    <t>Luro</t>
  </si>
  <si>
    <t>Raa</t>
  </si>
  <si>
    <t>Råå Bottensystem</t>
  </si>
  <si>
    <t>Ven</t>
  </si>
  <si>
    <t>Ven Bottensystem</t>
  </si>
  <si>
    <t>PSMSL</t>
  </si>
  <si>
    <t>CMEMS</t>
  </si>
  <si>
    <t>EMODNET</t>
  </si>
  <si>
    <t>kalit</t>
  </si>
  <si>
    <t>furu</t>
  </si>
  <si>
    <t>OBSPERIOD</t>
  </si>
  <si>
    <t>1916-</t>
  </si>
  <si>
    <t>1974-</t>
  </si>
  <si>
    <t>2011-2014</t>
  </si>
  <si>
    <t>2010-2012</t>
  </si>
  <si>
    <t>GLOSS</t>
  </si>
  <si>
    <t>1886-</t>
  </si>
  <si>
    <t>1886-1982</t>
  </si>
  <si>
    <t>1976-</t>
  </si>
  <si>
    <t>2009-</t>
  </si>
  <si>
    <t>2005-</t>
  </si>
  <si>
    <t>1910-</t>
  </si>
  <si>
    <t>1982-</t>
  </si>
  <si>
    <t>1967-</t>
  </si>
  <si>
    <t>2021-</t>
  </si>
  <si>
    <t>2010-</t>
  </si>
  <si>
    <t>2020-</t>
  </si>
  <si>
    <t>2009-2020</t>
  </si>
  <si>
    <t>1937-</t>
  </si>
  <si>
    <t>2014-</t>
  </si>
  <si>
    <t>1891-1978</t>
  </si>
  <si>
    <t>1897-1969</t>
  </si>
  <si>
    <t>2011-</t>
  </si>
  <si>
    <t>1975-</t>
  </si>
  <si>
    <t>2012-</t>
  </si>
  <si>
    <t>2013-</t>
  </si>
  <si>
    <t>1887-1958</t>
  </si>
  <si>
    <t>2014-2017</t>
  </si>
  <si>
    <t>2016-</t>
  </si>
  <si>
    <t>1891-</t>
  </si>
  <si>
    <t>1991-</t>
  </si>
  <si>
    <t>2018-</t>
  </si>
  <si>
    <t>1973-</t>
  </si>
  <si>
    <t>1962-</t>
  </si>
  <si>
    <t>1968-</t>
  </si>
  <si>
    <t>1851-</t>
  </si>
  <si>
    <t>2015-</t>
  </si>
  <si>
    <t>1960-</t>
  </si>
  <si>
    <t>oska</t>
  </si>
  <si>
    <t>goag</t>
  </si>
  <si>
    <t>goer</t>
  </si>
  <si>
    <t>gokr</t>
  </si>
  <si>
    <t>gola</t>
  </si>
  <si>
    <t>gote</t>
  </si>
  <si>
    <t>goti</t>
  </si>
  <si>
    <t>goto</t>
  </si>
  <si>
    <t>halm</t>
  </si>
  <si>
    <t>hapa</t>
  </si>
  <si>
    <t>hels</t>
  </si>
  <si>
    <t>kaka</t>
  </si>
  <si>
    <t>arko</t>
  </si>
  <si>
    <t>bars</t>
  </si>
  <si>
    <t>bjorl</t>
  </si>
  <si>
    <t>bona</t>
  </si>
  <si>
    <t>brof</t>
  </si>
  <si>
    <t>drag</t>
  </si>
  <si>
    <t>e4bs</t>
  </si>
  <si>
    <t>falk</t>
  </si>
  <si>
    <t>vin2</t>
  </si>
  <si>
    <t>onsa</t>
  </si>
  <si>
    <t>olan</t>
  </si>
  <si>
    <t>nyna</t>
  </si>
  <si>
    <t>2019-</t>
  </si>
  <si>
    <t>oxel</t>
  </si>
  <si>
    <t>rata</t>
  </si>
  <si>
    <t>lund</t>
  </si>
  <si>
    <t>loud</t>
  </si>
  <si>
    <t>malm</t>
  </si>
  <si>
    <t>marv</t>
  </si>
  <si>
    <t>2004-</t>
  </si>
  <si>
    <t>land</t>
  </si>
  <si>
    <t>1886-2005</t>
  </si>
  <si>
    <t>kung</t>
  </si>
  <si>
    <t>kungr</t>
  </si>
  <si>
    <t>fors</t>
  </si>
  <si>
    <t>1929-</t>
  </si>
  <si>
    <t>simr</t>
  </si>
  <si>
    <t>ring</t>
  </si>
  <si>
    <t>simp</t>
  </si>
  <si>
    <t>1889-</t>
  </si>
  <si>
    <t>tang</t>
  </si>
  <si>
    <t>stens</t>
  </si>
  <si>
    <t>sthm</t>
  </si>
  <si>
    <t>spik</t>
  </si>
  <si>
    <t>smog</t>
  </si>
  <si>
    <t>udde</t>
  </si>
  <si>
    <t>varb</t>
  </si>
  <si>
    <t>vikew</t>
  </si>
  <si>
    <t>visb</t>
  </si>
  <si>
    <t>1886-1987</t>
  </si>
  <si>
    <t>ysta</t>
  </si>
  <si>
    <t>1964-2019</t>
  </si>
  <si>
    <t>1924-1963</t>
  </si>
  <si>
    <t>050062</t>
  </si>
  <si>
    <t>maha</t>
  </si>
  <si>
    <t>ljus</t>
  </si>
  <si>
    <t>mard</t>
  </si>
  <si>
    <t>1774-1967</t>
  </si>
  <si>
    <t>karl</t>
  </si>
  <si>
    <t>klag</t>
  </si>
  <si>
    <t>kalm</t>
  </si>
  <si>
    <t>kris</t>
  </si>
  <si>
    <t>vvik</t>
  </si>
  <si>
    <t>holm</t>
  </si>
  <si>
    <t>jute</t>
  </si>
  <si>
    <t>2009-2019</t>
  </si>
  <si>
    <t>Sprängsviken</t>
  </si>
  <si>
    <t>Hertsöfjärden</t>
  </si>
  <si>
    <t>Luleå</t>
  </si>
  <si>
    <t>Holmögadd</t>
  </si>
  <si>
    <t>Örnsköldsvik</t>
  </si>
  <si>
    <t>Iggesund</t>
  </si>
  <si>
    <t>Söderhamn</t>
  </si>
  <si>
    <t>Nedre Ljusne</t>
  </si>
  <si>
    <t>Nedre Gävle</t>
  </si>
  <si>
    <t>Djursten</t>
  </si>
  <si>
    <t>Kallerö</t>
  </si>
  <si>
    <t>Svenska Björn</t>
  </si>
  <si>
    <t>Sandhamn</t>
  </si>
  <si>
    <t>Grönskär</t>
  </si>
  <si>
    <t>Nedre Södertälje</t>
  </si>
  <si>
    <t>Dalarö</t>
  </si>
  <si>
    <t>Landsort fyr</t>
  </si>
  <si>
    <t>Nedre Nyköping</t>
  </si>
  <si>
    <t>Oxelösund</t>
  </si>
  <si>
    <t>Mem</t>
  </si>
  <si>
    <t>Fårösund</t>
  </si>
  <si>
    <t>Gnisvärd</t>
  </si>
  <si>
    <t>Ljugarn</t>
  </si>
  <si>
    <t>Byxelkrok</t>
  </si>
  <si>
    <t>Grönhögen</t>
  </si>
  <si>
    <t>Hällevik</t>
  </si>
  <si>
    <t>Hanö</t>
  </si>
  <si>
    <t>Kivik</t>
  </si>
  <si>
    <t>Ystad fyr</t>
  </si>
  <si>
    <t>Östra torp</t>
  </si>
  <si>
    <t>Flinten SV</t>
  </si>
  <si>
    <t>Limhamn</t>
  </si>
  <si>
    <t>Oskarsgrundet SV</t>
  </si>
  <si>
    <t>Malmö oljehamn</t>
  </si>
  <si>
    <t>Barsebäck Mylog</t>
  </si>
  <si>
    <t>Landskrona</t>
  </si>
  <si>
    <t>Bäckviken</t>
  </si>
  <si>
    <t>Torekov</t>
  </si>
  <si>
    <t>Hönö-Klåva</t>
  </si>
  <si>
    <t>Hållö</t>
  </si>
  <si>
    <t>Bäckevik</t>
  </si>
  <si>
    <t>Strömstad</t>
  </si>
  <si>
    <t>Svinesund</t>
  </si>
  <si>
    <t>Sprangsviken</t>
  </si>
  <si>
    <t>Hertsofjarden</t>
  </si>
  <si>
    <t>Lulea</t>
  </si>
  <si>
    <t>Ornskoldsvik</t>
  </si>
  <si>
    <t>Holmogadd</t>
  </si>
  <si>
    <t>NedreLjusne</t>
  </si>
  <si>
    <t>Soderhamn</t>
  </si>
  <si>
    <t>NedreGavle</t>
  </si>
  <si>
    <t>Kallero</t>
  </si>
  <si>
    <t>Gronskar</t>
  </si>
  <si>
    <t>NedreSodertalje</t>
  </si>
  <si>
    <t>LandsortFyr</t>
  </si>
  <si>
    <t>Dalaro</t>
  </si>
  <si>
    <t>NedreNykoping</t>
  </si>
  <si>
    <t>Farosund</t>
  </si>
  <si>
    <t>Gnisvard</t>
  </si>
  <si>
    <t>Gustav Dahlen</t>
  </si>
  <si>
    <t>Gronhogen</t>
  </si>
  <si>
    <t>Hallevik</t>
  </si>
  <si>
    <t>Hano</t>
  </si>
  <si>
    <t>Ahus1</t>
  </si>
  <si>
    <t>YstadFyr</t>
  </si>
  <si>
    <t>OstraTorp</t>
  </si>
  <si>
    <t>OskarsgrundetSV</t>
  </si>
  <si>
    <t>MalmoOljehamn</t>
  </si>
  <si>
    <t>Backviken</t>
  </si>
  <si>
    <t>HonoKlava</t>
  </si>
  <si>
    <t>Hallo</t>
  </si>
  <si>
    <t>Backevik</t>
  </si>
  <si>
    <t>Stromstad</t>
  </si>
  <si>
    <t>1915-1949</t>
  </si>
  <si>
    <t>1982-1985</t>
  </si>
  <si>
    <t>1912-1966</t>
  </si>
  <si>
    <t>1849-1882</t>
  </si>
  <si>
    <t>1964-1985</t>
  </si>
  <si>
    <t>1910-1949</t>
  </si>
  <si>
    <t>1908-1931</t>
  </si>
  <si>
    <t>1906-1928</t>
  </si>
  <si>
    <t>1912-1939</t>
  </si>
  <si>
    <t>1896-1972</t>
  </si>
  <si>
    <t>1960-1979</t>
  </si>
  <si>
    <t>1972-1976</t>
  </si>
  <si>
    <t>1849-1875</t>
  </si>
  <si>
    <t>1982-1994</t>
  </si>
  <si>
    <t>1924-1927</t>
  </si>
  <si>
    <t>1887-1932</t>
  </si>
  <si>
    <t>1869-1970</t>
  </si>
  <si>
    <t>1973-1974</t>
  </si>
  <si>
    <t>1848-1882</t>
  </si>
  <si>
    <t>1909-1920</t>
  </si>
  <si>
    <t>1961-1986</t>
  </si>
  <si>
    <t>1979-1997</t>
  </si>
  <si>
    <t>1863-1925</t>
  </si>
  <si>
    <t>1969-1971</t>
  </si>
  <si>
    <t>1895-1970</t>
  </si>
  <si>
    <t>1937-1967</t>
  </si>
  <si>
    <t>1935-1969</t>
  </si>
  <si>
    <t>1937-1969</t>
  </si>
  <si>
    <t>1903-1929</t>
  </si>
  <si>
    <t>1937-1964</t>
  </si>
  <si>
    <t>1937-1968</t>
  </si>
  <si>
    <t>1850-1876</t>
  </si>
  <si>
    <t>1913-1949</t>
  </si>
  <si>
    <t>1849-1879</t>
  </si>
  <si>
    <t>1937-1966</t>
  </si>
  <si>
    <t>1967-1999</t>
  </si>
  <si>
    <t>1928-1953</t>
  </si>
  <si>
    <t>1976-1999</t>
  </si>
  <si>
    <t>1996-2000</t>
  </si>
  <si>
    <t>1992-1992</t>
  </si>
  <si>
    <t>1913-1982</t>
  </si>
  <si>
    <t>1921-1932</t>
  </si>
  <si>
    <t>1903-1970</t>
  </si>
  <si>
    <t>1978-2004</t>
  </si>
  <si>
    <t>1848-1875</t>
  </si>
  <si>
    <t>1894-1929</t>
  </si>
  <si>
    <t>1849-1916</t>
  </si>
  <si>
    <t>1895-1971</t>
  </si>
  <si>
    <t>1971-1973</t>
  </si>
  <si>
    <t>BarsebäckMylog</t>
  </si>
  <si>
    <t>gokl</t>
  </si>
  <si>
    <t>1959-1974</t>
  </si>
  <si>
    <t>1880-1922</t>
  </si>
  <si>
    <t>1909-1989</t>
  </si>
  <si>
    <t>1940-1945</t>
  </si>
  <si>
    <t>1903-1922</t>
  </si>
  <si>
    <t>1893-1969</t>
  </si>
  <si>
    <t>1860-1972</t>
  </si>
  <si>
    <t>1860-1969</t>
  </si>
  <si>
    <t>1923-1929</t>
  </si>
  <si>
    <t>1880-1960</t>
  </si>
  <si>
    <t>1880-1963</t>
  </si>
  <si>
    <t>1930-1965</t>
  </si>
  <si>
    <t>1951-1967</t>
  </si>
  <si>
    <t>1880-1915</t>
  </si>
  <si>
    <t>1923-1951</t>
  </si>
  <si>
    <t>1880-1961</t>
  </si>
  <si>
    <t>1880-1968</t>
  </si>
  <si>
    <t>1881-1896</t>
  </si>
  <si>
    <t>1879-1887</t>
  </si>
  <si>
    <t>1978-2003</t>
  </si>
  <si>
    <t>1988-1999</t>
  </si>
  <si>
    <t>1983-1987</t>
  </si>
  <si>
    <t>1981-1982</t>
  </si>
  <si>
    <t>1985-1986</t>
  </si>
  <si>
    <t>1984-1985</t>
  </si>
  <si>
    <t>1983-1999</t>
  </si>
  <si>
    <t>1982-1983</t>
  </si>
  <si>
    <t>1982-1986</t>
  </si>
  <si>
    <t>1980-1981</t>
  </si>
  <si>
    <t>1995-1997</t>
  </si>
  <si>
    <t>2002-2004</t>
  </si>
  <si>
    <t>2001-</t>
  </si>
  <si>
    <t>Agö</t>
  </si>
  <si>
    <t>Åkershus</t>
  </si>
  <si>
    <t>AlmagrundetA</t>
  </si>
  <si>
    <t>Almagrundet A</t>
  </si>
  <si>
    <t>Åmål</t>
  </si>
  <si>
    <t>Axstål</t>
  </si>
  <si>
    <t>VÄTTERN</t>
  </si>
  <si>
    <t>Båstad</t>
  </si>
  <si>
    <t>Berga</t>
  </si>
  <si>
    <t>Bjuröklubb</t>
  </si>
  <si>
    <t>BjuroklubbA</t>
  </si>
  <si>
    <t>Bjuröklubb A</t>
  </si>
  <si>
    <t>BramonA</t>
  </si>
  <si>
    <t>Brämön A</t>
  </si>
  <si>
    <t>Dingle</t>
  </si>
  <si>
    <t>EggegrundA</t>
  </si>
  <si>
    <t>Eggegrund A</t>
  </si>
  <si>
    <t>Falsterbo</t>
  </si>
  <si>
    <t>FalsterboA</t>
  </si>
  <si>
    <t>Falsterbo A</t>
  </si>
  <si>
    <t>Fårö</t>
  </si>
  <si>
    <t>FarosundArA</t>
  </si>
  <si>
    <t>Fårösund Ar A</t>
  </si>
  <si>
    <t>FarstugrundenAut</t>
  </si>
  <si>
    <t>Farstugrunden Aut</t>
  </si>
  <si>
    <t>Finngrundets Fyrskepp</t>
  </si>
  <si>
    <t>GavleA</t>
  </si>
  <si>
    <t>Gävle A</t>
  </si>
  <si>
    <t>Glommen</t>
  </si>
  <si>
    <t>Gotska Sandön</t>
  </si>
  <si>
    <t>GotskaSandonA</t>
  </si>
  <si>
    <t>Gotska Sandön A</t>
  </si>
  <si>
    <t>Gran</t>
  </si>
  <si>
    <t>GustafDalenA</t>
  </si>
  <si>
    <t>Gustaf Dalen A</t>
  </si>
  <si>
    <t>Gustavsberg</t>
  </si>
  <si>
    <t>HallandsVaderoA</t>
  </si>
  <si>
    <t>Hallands Väderö A</t>
  </si>
  <si>
    <t>Halmstad Flygplats</t>
  </si>
  <si>
    <t>HanoA</t>
  </si>
  <si>
    <t>Hanö A</t>
  </si>
  <si>
    <t>HaparandaA</t>
  </si>
  <si>
    <t>Haparanda A</t>
  </si>
  <si>
    <t>Haraholmen</t>
  </si>
  <si>
    <t>Harg</t>
  </si>
  <si>
    <t>Härnö</t>
  </si>
  <si>
    <t>Härnösand</t>
  </si>
  <si>
    <t>Harstena</t>
  </si>
  <si>
    <t>HarstenaA</t>
  </si>
  <si>
    <t>Harstena A</t>
  </si>
  <si>
    <t>HelsingborgA</t>
  </si>
  <si>
    <t>Helsingborg A</t>
  </si>
  <si>
    <t>Herrvik</t>
  </si>
  <si>
    <t>Hoburg</t>
  </si>
  <si>
    <t>Hölick</t>
  </si>
  <si>
    <t>Holma</t>
  </si>
  <si>
    <t>HolmogaddA</t>
  </si>
  <si>
    <t>Holmögadd A</t>
  </si>
  <si>
    <t>HolmonA</t>
  </si>
  <si>
    <t>Holmön A</t>
  </si>
  <si>
    <t>Hudiksvall</t>
  </si>
  <si>
    <t>Husarö</t>
  </si>
  <si>
    <t>Huvudskär</t>
  </si>
  <si>
    <t>HuvudskarOstA</t>
  </si>
  <si>
    <t>Huvudskär Ost A</t>
  </si>
  <si>
    <t>JarnasklubbA</t>
  </si>
  <si>
    <t>Järnäsklubb A</t>
  </si>
  <si>
    <t>Kalix</t>
  </si>
  <si>
    <t>Kalmar Flygplats</t>
  </si>
  <si>
    <t>Karlsborg</t>
  </si>
  <si>
    <t>KarlskronaSoderstjerna</t>
  </si>
  <si>
    <t>Karlskrona-Söderstjerna</t>
  </si>
  <si>
    <t>KarlstadAut</t>
  </si>
  <si>
    <t>Karlstad Aut</t>
  </si>
  <si>
    <t>Karlstad Flygplats</t>
  </si>
  <si>
    <t>Kristianstad</t>
  </si>
  <si>
    <t>KristianstadV</t>
  </si>
  <si>
    <t>Kristianstad V</t>
  </si>
  <si>
    <t>KuggorenA</t>
  </si>
  <si>
    <t>Kuggören A</t>
  </si>
  <si>
    <t>Kullen</t>
  </si>
  <si>
    <t>LaesoOstA</t>
  </si>
  <si>
    <t>Laesö Ost A</t>
  </si>
  <si>
    <t>LandsortA</t>
  </si>
  <si>
    <t>Landsort A</t>
  </si>
  <si>
    <t>Ljungskile</t>
  </si>
  <si>
    <t>LuleaBergnaset</t>
  </si>
  <si>
    <t>Luleå-Bergnäset</t>
  </si>
  <si>
    <t>Luleå-Kallax Flygplats</t>
  </si>
  <si>
    <t>LungoA</t>
  </si>
  <si>
    <t>Lungö A</t>
  </si>
  <si>
    <t>Lurö</t>
  </si>
  <si>
    <t>MaglarpAut</t>
  </si>
  <si>
    <t>Maglarp Aut</t>
  </si>
  <si>
    <t>MalmoA</t>
  </si>
  <si>
    <t>Malmö A</t>
  </si>
  <si>
    <t>Malmö-Sturup Flygplats</t>
  </si>
  <si>
    <t>Mariestad</t>
  </si>
  <si>
    <t>Måseskär</t>
  </si>
  <si>
    <t>MaseskarA</t>
  </si>
  <si>
    <t>Måseskär A</t>
  </si>
  <si>
    <t>Mockfjärd</t>
  </si>
  <si>
    <t>NasuddenAut</t>
  </si>
  <si>
    <t>Näsudden Aut</t>
  </si>
  <si>
    <t>NavenA</t>
  </si>
  <si>
    <t>Naven A</t>
  </si>
  <si>
    <t>NidingenA</t>
  </si>
  <si>
    <t>Nidingen A</t>
  </si>
  <si>
    <t>Nordmaling</t>
  </si>
  <si>
    <t>OlandsbronV</t>
  </si>
  <si>
    <t>Ölandsbron V</t>
  </si>
  <si>
    <t>OlandsNorraUddeA</t>
  </si>
  <si>
    <t>Ölands norra udde A</t>
  </si>
  <si>
    <t>OlandsSodraGrundAut</t>
  </si>
  <si>
    <t>Ölands södra grund Aut</t>
  </si>
  <si>
    <t>Ölands södra udde</t>
  </si>
  <si>
    <t>Ölands södra udde A</t>
  </si>
  <si>
    <t>Öregrund</t>
  </si>
  <si>
    <t>OrjaAut</t>
  </si>
  <si>
    <t>Örja Aut</t>
  </si>
  <si>
    <t>OrskarA</t>
  </si>
  <si>
    <t>Örskär A</t>
  </si>
  <si>
    <t>OskarsgrundetAut</t>
  </si>
  <si>
    <t>Oskarsgrundet Aut</t>
  </si>
  <si>
    <t>OstergarnsholmA</t>
  </si>
  <si>
    <t>Östergarnsholm A</t>
  </si>
  <si>
    <t>Övre Gränsö</t>
  </si>
  <si>
    <t>PalgrundenA</t>
  </si>
  <si>
    <t>Pålgrunden A</t>
  </si>
  <si>
    <t>PiteRonnskarA</t>
  </si>
  <si>
    <t>Pite-Rönnskär A</t>
  </si>
  <si>
    <t>Pitsund</t>
  </si>
  <si>
    <t>RinghalsAut</t>
  </si>
  <si>
    <t>Ringhals Aut</t>
  </si>
  <si>
    <t>Rödkallen</t>
  </si>
  <si>
    <t>RodkallenA</t>
  </si>
  <si>
    <t>Rödkallen A</t>
  </si>
  <si>
    <t>RonnebyBredakra</t>
  </si>
  <si>
    <t>Ronneby-Bredåkra</t>
  </si>
  <si>
    <t>Sandhammaren</t>
  </si>
  <si>
    <t>SandhamnD</t>
  </si>
  <si>
    <t>Sandhamn D</t>
  </si>
  <si>
    <t>Såtenäs</t>
  </si>
  <si>
    <t>SatenasD</t>
  </si>
  <si>
    <t>Såtenäs D</t>
  </si>
  <si>
    <t>SavastV</t>
  </si>
  <si>
    <t>Sävast V</t>
  </si>
  <si>
    <t>Skag</t>
  </si>
  <si>
    <t>SkagsuddeA</t>
  </si>
  <si>
    <t>Skagsudde A</t>
  </si>
  <si>
    <t>SkarpoA</t>
  </si>
  <si>
    <t>Skarpö A</t>
  </si>
  <si>
    <t>Skellefteå</t>
  </si>
  <si>
    <t>Skellefteå Flygplats</t>
  </si>
  <si>
    <t>SkillingeA</t>
  </si>
  <si>
    <t>Skillinge A</t>
  </si>
  <si>
    <t>Smygehuk</t>
  </si>
  <si>
    <t>SoderhamnA</t>
  </si>
  <si>
    <t>Söderhamn A</t>
  </si>
  <si>
    <t>Stabbo</t>
  </si>
  <si>
    <t>StavsnasA</t>
  </si>
  <si>
    <t>Stavsnäs A</t>
  </si>
  <si>
    <t>StavsnasAut</t>
  </si>
  <si>
    <t>Stavsnäs Aut</t>
  </si>
  <si>
    <t>Stenshuvud</t>
  </si>
  <si>
    <t>Stora Karlsö</t>
  </si>
  <si>
    <t>Storjungfrun</t>
  </si>
  <si>
    <t>Storöhamn</t>
  </si>
  <si>
    <t>StoronA</t>
  </si>
  <si>
    <t>Storön A</t>
  </si>
  <si>
    <t>Sundsvall</t>
  </si>
  <si>
    <t>Sundsvall-Timrå Flygplats</t>
  </si>
  <si>
    <t>SvenskaBjornAut</t>
  </si>
  <si>
    <t>Svenska Björn Aut</t>
  </si>
  <si>
    <t>Svenska Högarna</t>
  </si>
  <si>
    <t>SvenskaHogarnaA</t>
  </si>
  <si>
    <t>Svenska Högarna A</t>
  </si>
  <si>
    <t xml:space="preserve">  </t>
  </si>
  <si>
    <t>SydostbrottenAut</t>
  </si>
  <si>
    <t>Sydostbrotten Aut</t>
  </si>
  <si>
    <t>Torslanda</t>
  </si>
  <si>
    <t>Trollhättans Flygplats</t>
  </si>
  <si>
    <t>Trosa</t>
  </si>
  <si>
    <t>TrubadurenAut</t>
  </si>
  <si>
    <t>Trubaduren Aut</t>
  </si>
  <si>
    <t>Umeå</t>
  </si>
  <si>
    <t>Umeå Flygplats</t>
  </si>
  <si>
    <t>Understen</t>
  </si>
  <si>
    <t>Ungskär</t>
  </si>
  <si>
    <t>UtklippanA</t>
  </si>
  <si>
    <t>Utklippan A</t>
  </si>
  <si>
    <t>Utö</t>
  </si>
  <si>
    <t>UtvalnasAut</t>
  </si>
  <si>
    <t>Utvalnäs Aut</t>
  </si>
  <si>
    <t>Väddö</t>
  </si>
  <si>
    <t>VaderoarnaA</t>
  </si>
  <si>
    <t>Väderöarna A</t>
  </si>
  <si>
    <t>VaderoarnaAut</t>
  </si>
  <si>
    <t>Väderöarna Aut</t>
  </si>
  <si>
    <t>Väderöbod</t>
  </si>
  <si>
    <t>Valdemarsvik</t>
  </si>
  <si>
    <t>Vanersborg</t>
  </si>
  <si>
    <t>Vänersborg</t>
  </si>
  <si>
    <t>Värtan</t>
  </si>
  <si>
    <t>Västerås</t>
  </si>
  <si>
    <t>VasterasHasslo</t>
  </si>
  <si>
    <t>Västerås-Hässlö</t>
  </si>
  <si>
    <t>VastraBankenAut</t>
  </si>
  <si>
    <t>Västra Banken Aut</t>
  </si>
  <si>
    <t>VingaA</t>
  </si>
  <si>
    <t>Vinga A</t>
  </si>
  <si>
    <t>Visby Flygplats</t>
  </si>
  <si>
    <t>Visingsö</t>
  </si>
  <si>
    <t>VisingsoA</t>
  </si>
  <si>
    <t>Visingsö A</t>
  </si>
  <si>
    <t>2016-2017</t>
  </si>
  <si>
    <t>2013-2014</t>
  </si>
  <si>
    <t>Vastervik1</t>
  </si>
  <si>
    <t>Åhus mobil</t>
  </si>
  <si>
    <t>Ängelholm mobil</t>
  </si>
  <si>
    <t>Haparanda mobil</t>
  </si>
  <si>
    <t>050151/77</t>
  </si>
  <si>
    <t>050112/2359</t>
  </si>
  <si>
    <t>050035/2111</t>
  </si>
  <si>
    <t>050064/2109</t>
  </si>
  <si>
    <t>050161/90</t>
  </si>
  <si>
    <t>050021/97</t>
  </si>
  <si>
    <t>050181/122</t>
  </si>
  <si>
    <t>050155/2103</t>
  </si>
  <si>
    <t>050201/203</t>
  </si>
  <si>
    <t>050031/74</t>
  </si>
  <si>
    <t>050032/1236</t>
  </si>
  <si>
    <t>050030/2133</t>
  </si>
  <si>
    <t>050205/2101</t>
  </si>
  <si>
    <t>050051/330</t>
  </si>
  <si>
    <t>050081/70</t>
  </si>
  <si>
    <t>050009/2113</t>
  </si>
  <si>
    <t>050121/68</t>
  </si>
  <si>
    <t>050123/2132</t>
  </si>
  <si>
    <t>050061/323</t>
  </si>
  <si>
    <t>050096/2105</t>
  </si>
  <si>
    <t>050071/72</t>
  </si>
  <si>
    <t>050066/2110</t>
  </si>
  <si>
    <t>050041/73</t>
  </si>
  <si>
    <t xml:space="preserve">050022/2360 </t>
  </si>
  <si>
    <t>limh</t>
  </si>
  <si>
    <t>050115/2104</t>
  </si>
  <si>
    <t>memm</t>
  </si>
  <si>
    <t>gron</t>
  </si>
  <si>
    <t>back</t>
  </si>
  <si>
    <t>ahus</t>
  </si>
  <si>
    <t>ange</t>
  </si>
  <si>
    <t>backv</t>
  </si>
  <si>
    <t>050085/2106</t>
  </si>
  <si>
    <t>sand</t>
  </si>
  <si>
    <t>050074/2107</t>
  </si>
  <si>
    <t>050187/2102</t>
  </si>
  <si>
    <t>050191/88</t>
  </si>
  <si>
    <t>050056/2108</t>
  </si>
  <si>
    <t>skagk</t>
  </si>
  <si>
    <t>skan</t>
  </si>
  <si>
    <t>050011/179</t>
  </si>
  <si>
    <t>050183/1211</t>
  </si>
  <si>
    <t>050024/2112</t>
  </si>
  <si>
    <t>050141/78</t>
  </si>
  <si>
    <t>050001/140</t>
  </si>
  <si>
    <t>tore</t>
  </si>
  <si>
    <t>trub</t>
  </si>
  <si>
    <t>vast</t>
  </si>
  <si>
    <t>utkl</t>
  </si>
  <si>
    <t>stro</t>
  </si>
  <si>
    <t>ssta</t>
  </si>
  <si>
    <t>bamy</t>
  </si>
  <si>
    <t>byxe</t>
  </si>
  <si>
    <t>dala</t>
  </si>
  <si>
    <t>050171/99</t>
  </si>
  <si>
    <t>nega</t>
  </si>
  <si>
    <t>nelj</t>
  </si>
  <si>
    <t>050131/31</t>
  </si>
  <si>
    <t>050111/170</t>
  </si>
  <si>
    <t>nord</t>
  </si>
  <si>
    <t>neny</t>
  </si>
  <si>
    <t>neso</t>
  </si>
  <si>
    <t>mavh</t>
  </si>
  <si>
    <t>osto</t>
  </si>
  <si>
    <t>ovik</t>
  </si>
  <si>
    <t>lkro</t>
  </si>
  <si>
    <t>kivi</t>
  </si>
  <si>
    <t>kall</t>
  </si>
  <si>
    <t>kare</t>
  </si>
  <si>
    <t>hono</t>
  </si>
  <si>
    <t>igge</t>
  </si>
  <si>
    <t>hano</t>
  </si>
  <si>
    <t>grun</t>
  </si>
  <si>
    <t>hall</t>
  </si>
  <si>
    <t>guda</t>
  </si>
  <si>
    <t>halo</t>
  </si>
  <si>
    <t>djur</t>
  </si>
  <si>
    <t>svan</t>
  </si>
  <si>
    <t>spra</t>
  </si>
  <si>
    <t>sode</t>
  </si>
  <si>
    <t>slit</t>
  </si>
  <si>
    <t>maol</t>
  </si>
  <si>
    <t>lule</t>
  </si>
  <si>
    <t>ljug</t>
  </si>
  <si>
    <t>holg</t>
  </si>
  <si>
    <t>groh</t>
  </si>
  <si>
    <t>goal</t>
  </si>
  <si>
    <t>gnis</t>
  </si>
  <si>
    <t>faro</t>
  </si>
  <si>
    <t>fli16</t>
  </si>
  <si>
    <t>fli7</t>
  </si>
  <si>
    <t>flisv</t>
  </si>
  <si>
    <t>gaso</t>
  </si>
  <si>
    <t>gavl</t>
  </si>
  <si>
    <t>hert</t>
  </si>
  <si>
    <t>svar</t>
  </si>
  <si>
    <t>sveb</t>
  </si>
  <si>
    <t>svin</t>
  </si>
  <si>
    <t>sydo</t>
  </si>
  <si>
    <t>verk</t>
  </si>
  <si>
    <t>LasoOst</t>
  </si>
  <si>
    <t>Läsö Ost</t>
  </si>
  <si>
    <t>2001-2009</t>
  </si>
  <si>
    <t>050091/69</t>
  </si>
  <si>
    <t>Fåa-Rödkobb</t>
  </si>
  <si>
    <t>Finska Enskär</t>
  </si>
  <si>
    <t>Läsö</t>
  </si>
  <si>
    <t>Ölands södra grund</t>
  </si>
  <si>
    <t>Öland Waverider</t>
  </si>
  <si>
    <t>Örskär</t>
  </si>
  <si>
    <t>Östergarn</t>
  </si>
  <si>
    <t>Sädvajaure</t>
  </si>
  <si>
    <t>Väderöarna1</t>
  </si>
  <si>
    <t>Väderöarna2</t>
  </si>
  <si>
    <t>2017-</t>
  </si>
  <si>
    <t>ATMP AKTIV</t>
  </si>
  <si>
    <t>RELH AKTIV</t>
  </si>
  <si>
    <t>050139/2131</t>
  </si>
  <si>
    <t>2009-2018</t>
  </si>
  <si>
    <t>P22 / 3892 Bottensystem</t>
  </si>
  <si>
    <t>2006-</t>
  </si>
  <si>
    <t>Hanöbukten 4 Bottensystem</t>
  </si>
  <si>
    <t>Hanobukten4BS</t>
  </si>
  <si>
    <t>2020-2021</t>
  </si>
  <si>
    <t>ArgosUWS</t>
  </si>
  <si>
    <t>Argos UWS</t>
  </si>
  <si>
    <t>2000-2011</t>
  </si>
  <si>
    <t>RVSvea</t>
  </si>
  <si>
    <t>1961-1969</t>
  </si>
  <si>
    <t>Understen BS</t>
  </si>
  <si>
    <t>UnderstenBS</t>
  </si>
  <si>
    <t>RV Svea</t>
  </si>
  <si>
    <t>Repskärsgrund</t>
  </si>
  <si>
    <t>Malören</t>
  </si>
  <si>
    <t>Farstugrunden</t>
  </si>
  <si>
    <t>Sikeå</t>
  </si>
  <si>
    <t>Väktaren</t>
  </si>
  <si>
    <t>Järnäs</t>
  </si>
  <si>
    <t>Kuggören</t>
  </si>
  <si>
    <t>Hällgrund</t>
  </si>
  <si>
    <t>Blomman</t>
  </si>
  <si>
    <t>Lidö</t>
  </si>
  <si>
    <t>Västra Banken</t>
  </si>
  <si>
    <t>Brämön</t>
  </si>
  <si>
    <t>Trälhavet</t>
  </si>
  <si>
    <t>M4 (Kapellskär)</t>
  </si>
  <si>
    <t xml:space="preserve">M3 (Tjärven) </t>
  </si>
  <si>
    <t>M2 (Tvärs Flötjan)</t>
  </si>
  <si>
    <t>M1 (Nyhamn)</t>
  </si>
  <si>
    <t>M0 (Gustav Dahlen)</t>
  </si>
  <si>
    <t>Hårsfjärden</t>
  </si>
  <si>
    <t>Gustav Dahlén</t>
  </si>
  <si>
    <t>Aspöja</t>
  </si>
  <si>
    <t>Kungsgrundet</t>
  </si>
  <si>
    <t>Ölands Norra Udde</t>
  </si>
  <si>
    <t>Ölands Södra Grund</t>
  </si>
  <si>
    <t>Idö</t>
  </si>
  <si>
    <t>E1 Trälhavet</t>
  </si>
  <si>
    <t>E2 Revengegrund</t>
  </si>
  <si>
    <t>E3 7Nm S Svenska Björn</t>
  </si>
  <si>
    <t>E4 SE Bogskär</t>
  </si>
  <si>
    <t>E5 Syd Utö</t>
  </si>
  <si>
    <t>E6 Syd Bengtskär</t>
  </si>
  <si>
    <t>E7 Syd Jussarö</t>
  </si>
  <si>
    <t>E8 Helsinki Fyr</t>
  </si>
  <si>
    <t>I4 5Nm N Svenska Björn</t>
  </si>
  <si>
    <t>I6 Lillharn</t>
  </si>
  <si>
    <t>D1 E Landsort</t>
  </si>
  <si>
    <t>D2 W Gotska Sandön</t>
  </si>
  <si>
    <t>D3 W Stenkyrkehuk</t>
  </si>
  <si>
    <t>K1 Midbredan</t>
  </si>
  <si>
    <t>K2 Ölands Norra Grund</t>
  </si>
  <si>
    <t>K3 E Knolls Grund</t>
  </si>
  <si>
    <t>F1 Stora Karlsö</t>
  </si>
  <si>
    <t>F2 Hoburgen</t>
  </si>
  <si>
    <t>F3</t>
  </si>
  <si>
    <t>F4</t>
  </si>
  <si>
    <t>F5</t>
  </si>
  <si>
    <t>F6</t>
  </si>
  <si>
    <t>F7</t>
  </si>
  <si>
    <t>H1 Boj 5/63(Trelleborg)</t>
  </si>
  <si>
    <t>H2</t>
  </si>
  <si>
    <t>H3 NE Arkona</t>
  </si>
  <si>
    <t>L7</t>
  </si>
  <si>
    <t>L6</t>
  </si>
  <si>
    <t>L5 E Möns Klint</t>
  </si>
  <si>
    <t>L4 Boj Dw3</t>
  </si>
  <si>
    <t>L3 Boj 14</t>
  </si>
  <si>
    <t>L2 Boj 5</t>
  </si>
  <si>
    <t>L1 Lübeck A</t>
  </si>
  <si>
    <t>J1</t>
  </si>
  <si>
    <t>J2</t>
  </si>
  <si>
    <t>J3</t>
  </si>
  <si>
    <t>J4</t>
  </si>
  <si>
    <t>J5</t>
  </si>
  <si>
    <t>Nidingen</t>
  </si>
  <si>
    <t>G1 Sjollen</t>
  </si>
  <si>
    <t>G2 Boj 21/32</t>
  </si>
  <si>
    <t>B6 Falsterbo Rev</t>
  </si>
  <si>
    <t>B7 Drogden</t>
  </si>
  <si>
    <t>B8 Middelgrund</t>
  </si>
  <si>
    <t>B9 Boj M5</t>
  </si>
  <si>
    <t>P1</t>
  </si>
  <si>
    <t>P2</t>
  </si>
  <si>
    <t>C1 Kieler Förde</t>
  </si>
  <si>
    <t>C2 Boj Dw25</t>
  </si>
  <si>
    <t>C3 Boj 4 Ronte H</t>
  </si>
  <si>
    <t>C4 Boj 21 Ronte T</t>
  </si>
  <si>
    <t>C5 Rösnäs</t>
  </si>
  <si>
    <t>C6 Själlands Rev</t>
  </si>
  <si>
    <t>C7 Syd Anholt Fyr</t>
  </si>
  <si>
    <t>C8 Anholt Knob</t>
  </si>
  <si>
    <t>C9 Boj 4 Ronte T</t>
  </si>
  <si>
    <t>C10 Boj 1 Tistlarna</t>
  </si>
  <si>
    <t>A1 Trubaduren</t>
  </si>
  <si>
    <t>A2 Läsö N</t>
  </si>
  <si>
    <t>A3 Nordre Rönner</t>
  </si>
  <si>
    <t>G3 Tvärs Haken</t>
  </si>
  <si>
    <t>R1</t>
  </si>
  <si>
    <t>R2</t>
  </si>
  <si>
    <t>P3</t>
  </si>
  <si>
    <t>P4</t>
  </si>
  <si>
    <t>S1 Ferder</t>
  </si>
  <si>
    <t>S2</t>
  </si>
  <si>
    <t>S3</t>
  </si>
  <si>
    <t>S4</t>
  </si>
  <si>
    <t>Kristinehamn</t>
  </si>
  <si>
    <t>Karlstad</t>
  </si>
  <si>
    <t>Mjölnargrund</t>
  </si>
  <si>
    <t>1973-2001</t>
  </si>
  <si>
    <t>1973-1999</t>
  </si>
  <si>
    <t>1987-1992</t>
  </si>
  <si>
    <t xml:space="preserve">1973- </t>
  </si>
  <si>
    <t>1931-2000</t>
  </si>
  <si>
    <t>1973-2014</t>
  </si>
  <si>
    <t>1973-1992</t>
  </si>
  <si>
    <t>1972-2000</t>
  </si>
  <si>
    <t>1973-1993</t>
  </si>
  <si>
    <t>1973-1995</t>
  </si>
  <si>
    <t>1990-1999</t>
  </si>
  <si>
    <t>1992-1999</t>
  </si>
  <si>
    <t>1981-2006</t>
  </si>
  <si>
    <t>1986-1998</t>
  </si>
  <si>
    <t>1986-1992</t>
  </si>
  <si>
    <t>1987-1993</t>
  </si>
  <si>
    <t>1985-2006</t>
  </si>
  <si>
    <t>1975-2003</t>
  </si>
  <si>
    <t>1975-2007</t>
  </si>
  <si>
    <t>1975-2001</t>
  </si>
  <si>
    <t>1977-2002</t>
  </si>
  <si>
    <t>1973-2010</t>
  </si>
  <si>
    <t>1931-2006</t>
  </si>
  <si>
    <t>1981-1993</t>
  </si>
  <si>
    <t>1973-2002</t>
  </si>
  <si>
    <t>1976-1995</t>
  </si>
  <si>
    <t>1975-1989</t>
  </si>
  <si>
    <t xml:space="preserve">1978- </t>
  </si>
  <si>
    <t>1973-2006</t>
  </si>
  <si>
    <t>1979-1993</t>
  </si>
  <si>
    <t>1931-1997</t>
  </si>
  <si>
    <t>1973-1996</t>
  </si>
  <si>
    <t>1985-2002</t>
  </si>
  <si>
    <t>1984-2001</t>
  </si>
  <si>
    <t>1974-2007</t>
  </si>
  <si>
    <t>1974-2006</t>
  </si>
  <si>
    <t>1973-1997</t>
  </si>
  <si>
    <t>1973-2009</t>
  </si>
  <si>
    <t>1984-1992</t>
  </si>
  <si>
    <t>1979-1992</t>
  </si>
  <si>
    <t>1979-2003</t>
  </si>
  <si>
    <t>1988-2004</t>
  </si>
  <si>
    <t>1988-2002</t>
  </si>
  <si>
    <t>1984-1999</t>
  </si>
  <si>
    <t>1973-1994</t>
  </si>
  <si>
    <t>1980-1995</t>
  </si>
  <si>
    <t>1981-1995</t>
  </si>
  <si>
    <t>1980-1987</t>
  </si>
  <si>
    <t>1973-1998</t>
  </si>
  <si>
    <t>1984-2005</t>
  </si>
  <si>
    <t>1986-1997</t>
  </si>
  <si>
    <t>1988-1997</t>
  </si>
  <si>
    <t>1973-1991</t>
  </si>
  <si>
    <t>1980-1999</t>
  </si>
  <si>
    <t>1980-1996</t>
  </si>
  <si>
    <t>1973-2000</t>
  </si>
  <si>
    <t>1987-1996</t>
  </si>
  <si>
    <t>1987-1998</t>
  </si>
  <si>
    <t>1992-1996</t>
  </si>
  <si>
    <t>1992-1994</t>
  </si>
  <si>
    <t>1984-1994</t>
  </si>
  <si>
    <t>1985-1994</t>
  </si>
  <si>
    <t xml:space="preserve">1984- </t>
  </si>
  <si>
    <t>A1Trubaduren</t>
  </si>
  <si>
    <t>A2LasoN</t>
  </si>
  <si>
    <t>A3NordreRonner</t>
  </si>
  <si>
    <t>B6FalsterboRev</t>
  </si>
  <si>
    <t>B7Drogden</t>
  </si>
  <si>
    <t>B8Middelgrund</t>
  </si>
  <si>
    <t>B9BojM5</t>
  </si>
  <si>
    <t>C1KielerForde</t>
  </si>
  <si>
    <t>C2BojDw25</t>
  </si>
  <si>
    <t>C3Boj4RonteH</t>
  </si>
  <si>
    <t>C4Boj21RonteT</t>
  </si>
  <si>
    <t>C5Rosnas</t>
  </si>
  <si>
    <t>C6SjallandsRev</t>
  </si>
  <si>
    <t>C7SydAnholtFyr</t>
  </si>
  <si>
    <t>C8AnholtKnob</t>
  </si>
  <si>
    <t>C9Boj4RonteT</t>
  </si>
  <si>
    <t>D1ELandsort</t>
  </si>
  <si>
    <t>D2WGotskaSandon</t>
  </si>
  <si>
    <t>D3WStenkyrkehuk</t>
  </si>
  <si>
    <t>E1Tralhavet</t>
  </si>
  <si>
    <t>E2Revengegrund</t>
  </si>
  <si>
    <t>E8HelsinkiFyr</t>
  </si>
  <si>
    <t>E7SydJussaro</t>
  </si>
  <si>
    <t>E6SydBengtskar</t>
  </si>
  <si>
    <t>E5SydUto</t>
  </si>
  <si>
    <t>E4SEBogskar</t>
  </si>
  <si>
    <t>Varberg3</t>
  </si>
  <si>
    <t>OlandsNorraUdde3</t>
  </si>
  <si>
    <t>Bonan3</t>
  </si>
  <si>
    <t>OlandsSodraGrund3</t>
  </si>
  <si>
    <t>E37NmSSvenskaBjorn</t>
  </si>
  <si>
    <t>C10Boj1Tistlarna</t>
  </si>
  <si>
    <t>Eggegrund3</t>
  </si>
  <si>
    <t>F1StoraKarlso</t>
  </si>
  <si>
    <t>F2Hoburgen</t>
  </si>
  <si>
    <t>Farstugrunden3</t>
  </si>
  <si>
    <t>Furuogrund3</t>
  </si>
  <si>
    <t>G1Sjollen</t>
  </si>
  <si>
    <t>G2Boj2132</t>
  </si>
  <si>
    <t>G3TvarsHaken</t>
  </si>
  <si>
    <t>Gasoren3</t>
  </si>
  <si>
    <t>Glommen3</t>
  </si>
  <si>
    <t>Grundkallen3</t>
  </si>
  <si>
    <t>GustavDahlen3</t>
  </si>
  <si>
    <t>H1Boj563</t>
  </si>
  <si>
    <t>H3NEArkona</t>
  </si>
  <si>
    <t>Hano3</t>
  </si>
  <si>
    <t>Halmstad3</t>
  </si>
  <si>
    <t>Halmstad1</t>
  </si>
  <si>
    <t>Helsingborg3</t>
  </si>
  <si>
    <t>Herrvik3</t>
  </si>
  <si>
    <t>Hoburg3</t>
  </si>
  <si>
    <t>Holick3</t>
  </si>
  <si>
    <t>I45NmNSvenskaBjorn</t>
  </si>
  <si>
    <t>I6Lillharn</t>
  </si>
  <si>
    <t>K1Midbredan</t>
  </si>
  <si>
    <t>K2OlandsNGrund</t>
  </si>
  <si>
    <t>K3EKnollsGrund</t>
  </si>
  <si>
    <t>Kalmar3</t>
  </si>
  <si>
    <t>Karlsborg3</t>
  </si>
  <si>
    <t>Karlskrona3</t>
  </si>
  <si>
    <t>Karlstad3</t>
  </si>
  <si>
    <t>Koster3</t>
  </si>
  <si>
    <t>Kristinehamn3</t>
  </si>
  <si>
    <t>Kuggoren3</t>
  </si>
  <si>
    <t>Kullen3</t>
  </si>
  <si>
    <t>Kungsgrundet3</t>
  </si>
  <si>
    <t>L1LubeckA</t>
  </si>
  <si>
    <t>L2Boj5</t>
  </si>
  <si>
    <t>L3Boj14</t>
  </si>
  <si>
    <t>L4BojDw3</t>
  </si>
  <si>
    <t>L5EMonsKlint</t>
  </si>
  <si>
    <t>Landsort3</t>
  </si>
  <si>
    <t>Lido3</t>
  </si>
  <si>
    <t>Luro3</t>
  </si>
  <si>
    <t>M0GustavDahlen</t>
  </si>
  <si>
    <t>M1Nyhamn</t>
  </si>
  <si>
    <t>M2TvarsFlotjan</t>
  </si>
  <si>
    <t>M3Tjarven</t>
  </si>
  <si>
    <t>M4Kapellskar</t>
  </si>
  <si>
    <t>Maloren3</t>
  </si>
  <si>
    <t>Maseskar3</t>
  </si>
  <si>
    <t>Mjolnargrund3</t>
  </si>
  <si>
    <t>Nidingen3</t>
  </si>
  <si>
    <t>Norrbyn3</t>
  </si>
  <si>
    <t>Oskarsgrundet3</t>
  </si>
  <si>
    <t>Ahus3</t>
  </si>
  <si>
    <t>Almagrundet3</t>
  </si>
  <si>
    <t>Aspoja3</t>
  </si>
  <si>
    <t>Vaderoarna3</t>
  </si>
  <si>
    <t>S1Ferder</t>
  </si>
  <si>
    <t>TransPaper</t>
  </si>
  <si>
    <t>Trubaduren3</t>
  </si>
  <si>
    <t>VastraBanken3</t>
  </si>
  <si>
    <t>Ratan3</t>
  </si>
  <si>
    <t>Repskarsgrund3</t>
  </si>
  <si>
    <t>Rodkallen3</t>
  </si>
  <si>
    <t>Satenas3</t>
  </si>
  <si>
    <t>Skagsudde3</t>
  </si>
  <si>
    <t>Spikarna3</t>
  </si>
  <si>
    <t>Stabbo3</t>
  </si>
  <si>
    <t>StenaBrittanica</t>
  </si>
  <si>
    <t>StenaDanica</t>
  </si>
  <si>
    <t>Stena Danica</t>
  </si>
  <si>
    <t>StenaFlavia</t>
  </si>
  <si>
    <t>Stena Flavia</t>
  </si>
  <si>
    <t>StenaGermanica</t>
  </si>
  <si>
    <t>Stena Germanica</t>
  </si>
  <si>
    <t>StenaHollandica</t>
  </si>
  <si>
    <t>Stena Hollandica</t>
  </si>
  <si>
    <t>StenaJutlandica</t>
  </si>
  <si>
    <t>Stena Jutlandica</t>
  </si>
  <si>
    <t>StenaLagan</t>
  </si>
  <si>
    <t>Stena Lagan</t>
  </si>
  <si>
    <t>StenaMersey</t>
  </si>
  <si>
    <t>Stena Mersey</t>
  </si>
  <si>
    <t>StenaNordica</t>
  </si>
  <si>
    <t>Stena Nordica</t>
  </si>
  <si>
    <t>StenaSaga</t>
  </si>
  <si>
    <t>Stena Saga</t>
  </si>
  <si>
    <t>StenaScandinavica</t>
  </si>
  <si>
    <t>Stena Scandinavica</t>
  </si>
  <si>
    <t>StenaSkane</t>
  </si>
  <si>
    <t>Stena Skane</t>
  </si>
  <si>
    <t>StenaSuperfastVII</t>
  </si>
  <si>
    <t>Stena SuperfastVII</t>
  </si>
  <si>
    <t>StenaSuperfastVIII</t>
  </si>
  <si>
    <t>Stena SuperfastVIII</t>
  </si>
  <si>
    <t>StenaSuperfastX</t>
  </si>
  <si>
    <t>StenaVinga</t>
  </si>
  <si>
    <t>Stena Vinga</t>
  </si>
  <si>
    <t>StenaVision</t>
  </si>
  <si>
    <t>Stena Vision</t>
  </si>
  <si>
    <t>StoraKarlso3</t>
  </si>
  <si>
    <t>Svartklubben3</t>
  </si>
  <si>
    <t>SvenskaBjorn3</t>
  </si>
  <si>
    <t>SvenskaHogarna3</t>
  </si>
  <si>
    <t>Sydostbrotten3</t>
  </si>
  <si>
    <t>1990-1991</t>
  </si>
  <si>
    <t>050101/75</t>
  </si>
  <si>
    <t>050034/2331</t>
  </si>
  <si>
    <t>Visby2</t>
  </si>
  <si>
    <t>Varberg4</t>
  </si>
  <si>
    <t>Landsort4</t>
  </si>
  <si>
    <t>Malmo4</t>
  </si>
  <si>
    <t>Ostergarn4</t>
  </si>
  <si>
    <t>Pitea4</t>
  </si>
  <si>
    <t>Soderarm4</t>
  </si>
  <si>
    <t>Piteå</t>
  </si>
  <si>
    <t>Söderarm</t>
  </si>
  <si>
    <t>Turbiditet</t>
  </si>
  <si>
    <t>LGHT</t>
  </si>
  <si>
    <t>Attenuation</t>
  </si>
  <si>
    <t>TEMP</t>
  </si>
  <si>
    <t>DRYT</t>
  </si>
  <si>
    <t>PHYC</t>
  </si>
  <si>
    <t>SLEV</t>
  </si>
  <si>
    <t>SLEV,TEMP</t>
  </si>
  <si>
    <t>TEMP,PSAL</t>
  </si>
  <si>
    <t>TEMP,PSAL,DOXY</t>
  </si>
  <si>
    <t>DOXY</t>
  </si>
  <si>
    <t>PSAL</t>
  </si>
  <si>
    <t>FLOW</t>
  </si>
  <si>
    <t>SLEV AKTIV</t>
  </si>
  <si>
    <t>TEMP AKTIV</t>
  </si>
  <si>
    <t>PSAL AKTIV</t>
  </si>
  <si>
    <t>FLOW AKTIV</t>
  </si>
  <si>
    <t>VISU</t>
  </si>
  <si>
    <t>VISU AKTIV</t>
  </si>
  <si>
    <t>WIND</t>
  </si>
  <si>
    <t>WAVE</t>
  </si>
  <si>
    <t>CURR</t>
  </si>
  <si>
    <t>SLEV,TEMP,CURR</t>
  </si>
  <si>
    <t>SLEV,TEMP,PSAL,DOXY,CURR</t>
  </si>
  <si>
    <t>TEMP,CURR</t>
  </si>
  <si>
    <t>TEMP,CURR,WAVE</t>
  </si>
  <si>
    <t>TEMP,WAVE</t>
  </si>
  <si>
    <t>SLEV,VISU</t>
  </si>
  <si>
    <t>SLEV,TEMP,VISU</t>
  </si>
  <si>
    <t>ATMP,VISU</t>
  </si>
  <si>
    <t>SLEV,WIND</t>
  </si>
  <si>
    <t>SLEV,TEMP,WIND</t>
  </si>
  <si>
    <t>WIND,VISU</t>
  </si>
  <si>
    <t>SLEV,WIND,VISU</t>
  </si>
  <si>
    <t>WIND,ATMP,VISU</t>
  </si>
  <si>
    <t>WIND,ATMP,RELH,VISU</t>
  </si>
  <si>
    <t>TEMP,CURR,WIND,VISU</t>
  </si>
  <si>
    <t>SLEV,TEMP,CURR,WIND,VISU</t>
  </si>
  <si>
    <t>WIND,RELH</t>
  </si>
  <si>
    <t>WIND,RELH,VISU</t>
  </si>
  <si>
    <t>CURR,WIND</t>
  </si>
  <si>
    <t>CURR AKTIV</t>
  </si>
  <si>
    <t>WAVE AKTIV</t>
  </si>
  <si>
    <t>WIND AKTIV</t>
  </si>
  <si>
    <t>Pegel utrustad med dubbla radargivare eller radar- och tryckgivare. Batteribackup.</t>
  </si>
  <si>
    <t>Pegel utrustad med radar- och tryckgivare. Batteribackup saknas.</t>
  </si>
  <si>
    <t>Pegel ej uppgraderad med ny mätteknik</t>
  </si>
  <si>
    <t>Pegel nedlagd eller planeras läggas ned</t>
  </si>
  <si>
    <t>59-40.932</t>
  </si>
  <si>
    <t>18-58.986</t>
  </si>
  <si>
    <t>58-15.509</t>
  </si>
  <si>
    <t>12-13.847</t>
  </si>
  <si>
    <t>57-57.573</t>
  </si>
  <si>
    <t>12-06.896</t>
  </si>
  <si>
    <t>17-19.540</t>
  </si>
  <si>
    <t>59-05.990</t>
  </si>
  <si>
    <t>17-40.700</t>
  </si>
  <si>
    <t>58-20.403</t>
  </si>
  <si>
    <t>12-21.101</t>
  </si>
  <si>
    <t>58-20.463</t>
  </si>
  <si>
    <t>12-21.065</t>
  </si>
  <si>
    <t>58-22.950</t>
  </si>
  <si>
    <t>12-18.640</t>
  </si>
  <si>
    <t>59-11.090</t>
  </si>
  <si>
    <t>17-38.570</t>
  </si>
  <si>
    <t>60-43.690</t>
  </si>
  <si>
    <t>17-33.470</t>
  </si>
  <si>
    <t>55-33.618</t>
  </si>
  <si>
    <t>12-48.606</t>
  </si>
  <si>
    <t>55-35.426</t>
  </si>
  <si>
    <t>12-50.701</t>
  </si>
  <si>
    <t>18-55.925</t>
  </si>
  <si>
    <t>64-40.530</t>
  </si>
  <si>
    <t>21-17.350</t>
  </si>
  <si>
    <t>57-51.330</t>
  </si>
  <si>
    <t>12-00.570</t>
  </si>
  <si>
    <t>11-58.050</t>
  </si>
  <si>
    <t>56-38.930</t>
  </si>
  <si>
    <t>12-50.150</t>
  </si>
  <si>
    <t>57-53.780</t>
  </si>
  <si>
    <t>11-28.030</t>
  </si>
  <si>
    <t>56-02.470</t>
  </si>
  <si>
    <t>12-41.070</t>
  </si>
  <si>
    <t>59-31.984</t>
  </si>
  <si>
    <t>17-00.490</t>
  </si>
  <si>
    <t>58-38.050</t>
  </si>
  <si>
    <t>16-19.460</t>
  </si>
  <si>
    <t>65-47.320</t>
  </si>
  <si>
    <t>23-18.160</t>
  </si>
  <si>
    <t>56-39.530</t>
  </si>
  <si>
    <t>16-22.690</t>
  </si>
  <si>
    <t>56-40.280</t>
  </si>
  <si>
    <t>16-23.330</t>
  </si>
  <si>
    <t>57-41.265</t>
  </si>
  <si>
    <t>56-09.250</t>
  </si>
  <si>
    <t>14-49.280</t>
  </si>
  <si>
    <t>59-29.640</t>
  </si>
  <si>
    <t>16-02.710</t>
  </si>
  <si>
    <t>58-44.590</t>
  </si>
  <si>
    <t>17-52.030</t>
  </si>
  <si>
    <t>65-28.130</t>
  </si>
  <si>
    <t>22-27.850</t>
  </si>
  <si>
    <t>58-08.204</t>
  </si>
  <si>
    <t>12-07.082</t>
  </si>
  <si>
    <t>58-08.263</t>
  </si>
  <si>
    <t>12-07.150</t>
  </si>
  <si>
    <t>59-12.802</t>
  </si>
  <si>
    <t>17-36.609</t>
  </si>
  <si>
    <t>59-13.160</t>
  </si>
  <si>
    <t>17-36.560</t>
  </si>
  <si>
    <t>61-12.674</t>
  </si>
  <si>
    <t>17-09.845</t>
  </si>
  <si>
    <t>61-12.400</t>
  </si>
  <si>
    <t>17-08.710</t>
  </si>
  <si>
    <t>59-27.000</t>
  </si>
  <si>
    <t>17-17.000</t>
  </si>
  <si>
    <t>55-37.542</t>
  </si>
  <si>
    <t>12-59.070</t>
  </si>
  <si>
    <t>58-55.030</t>
  </si>
  <si>
    <t>17-58.380</t>
  </si>
  <si>
    <t>58-38.435</t>
  </si>
  <si>
    <t>17-07.787</t>
  </si>
  <si>
    <t>59-45.528</t>
  </si>
  <si>
    <t>19-19.006</t>
  </si>
  <si>
    <t>59-15.060</t>
  </si>
  <si>
    <t>19-00.770</t>
  </si>
  <si>
    <t>12-06.752</t>
  </si>
  <si>
    <t>58-50.211</t>
  </si>
  <si>
    <t>13-58.534</t>
  </si>
  <si>
    <t>57-53.420</t>
  </si>
  <si>
    <t>11-34.220</t>
  </si>
  <si>
    <t>59-18.979</t>
  </si>
  <si>
    <t>13-26.310</t>
  </si>
  <si>
    <t>59-17.183</t>
  </si>
  <si>
    <t>57-42.370</t>
  </si>
  <si>
    <t>18-48.480</t>
  </si>
  <si>
    <t>59-11.520</t>
  </si>
  <si>
    <t>17-37.940</t>
  </si>
  <si>
    <t>58-18.550</t>
  </si>
  <si>
    <t>12-19.120</t>
  </si>
  <si>
    <t>57-16.510</t>
  </si>
  <si>
    <t>16-33.220</t>
  </si>
  <si>
    <t>58-21.182</t>
  </si>
  <si>
    <t>11-25.589</t>
  </si>
  <si>
    <t>58-42.482</t>
  </si>
  <si>
    <t>12-30.370</t>
  </si>
  <si>
    <t>60-10.466</t>
  </si>
  <si>
    <t>18-49.494</t>
  </si>
  <si>
    <t>58-21.240</t>
  </si>
  <si>
    <t>12-22.744</t>
  </si>
  <si>
    <t>57-37.900</t>
  </si>
  <si>
    <t>11-36.455</t>
  </si>
  <si>
    <t>57-38.370</t>
  </si>
  <si>
    <t>18-17.100</t>
  </si>
  <si>
    <t>55-25.360</t>
  </si>
  <si>
    <t>13-49.540</t>
  </si>
  <si>
    <t>59-19.2468</t>
  </si>
  <si>
    <t>18-09.2868</t>
  </si>
  <si>
    <t>60-10.1946</t>
  </si>
  <si>
    <t>58-36.22674</t>
  </si>
  <si>
    <t>57-42.8636</t>
  </si>
  <si>
    <t>18-28.9178</t>
  </si>
  <si>
    <t>17-18.95131</t>
  </si>
  <si>
    <t>64-39.7746</t>
  </si>
  <si>
    <t>59-39.8144</t>
  </si>
  <si>
    <t>59-20.778</t>
  </si>
  <si>
    <t>18-07.6248</t>
  </si>
  <si>
    <t>18-12.6492</t>
  </si>
  <si>
    <t>21-19.0089</t>
  </si>
  <si>
    <t>12-44.68608</t>
  </si>
  <si>
    <t>55-31.09173</t>
  </si>
  <si>
    <t>59-01.873717</t>
  </si>
  <si>
    <t>60-24.5016</t>
  </si>
  <si>
    <t>60-24.6016</t>
  </si>
  <si>
    <t>11-24.2837</t>
  </si>
  <si>
    <t>60-43.8875</t>
  </si>
  <si>
    <t>59-21.7687</t>
  </si>
  <si>
    <t>18-22.5846</t>
  </si>
  <si>
    <t>58-17.9015</t>
  </si>
  <si>
    <t>11-19.6503</t>
  </si>
  <si>
    <t>55-44.7503</t>
  </si>
  <si>
    <t>12-55.0079</t>
  </si>
  <si>
    <t>58-20.1641</t>
  </si>
  <si>
    <t>60-09.6239</t>
  </si>
  <si>
    <t>18-32.05355</t>
  </si>
  <si>
    <t>11-52.17778</t>
  </si>
  <si>
    <t>59-21.5069</t>
  </si>
  <si>
    <t>18-24.9233</t>
  </si>
  <si>
    <t>11-42.44859</t>
  </si>
  <si>
    <t>11-43.6929</t>
  </si>
  <si>
    <t>57-58.0049</t>
  </si>
  <si>
    <t>57-40.33979</t>
  </si>
  <si>
    <t>57-15.9763</t>
  </si>
  <si>
    <t>16-28.5675</t>
  </si>
  <si>
    <t>65-11.6353</t>
  </si>
  <si>
    <t>21-34.9552</t>
  </si>
  <si>
    <t>57-14.9849</t>
  </si>
  <si>
    <t>57-24.5456</t>
  </si>
  <si>
    <t>16-40.5566</t>
  </si>
  <si>
    <t>19-00.96549</t>
  </si>
  <si>
    <t>63-11.28388</t>
  </si>
  <si>
    <t>18-53.6474</t>
  </si>
  <si>
    <t>56-08.532</t>
  </si>
  <si>
    <t>12-34.752</t>
  </si>
  <si>
    <t>65-41.820</t>
  </si>
  <si>
    <t>23-05.772</t>
  </si>
  <si>
    <t>11-07.644</t>
  </si>
  <si>
    <t>58-59.796</t>
  </si>
  <si>
    <t>56-06.190</t>
  </si>
  <si>
    <t>15-35.220</t>
  </si>
  <si>
    <t>58-21.216</t>
  </si>
  <si>
    <t>11-13.068</t>
  </si>
  <si>
    <t>Malmo5</t>
  </si>
  <si>
    <t>Oskarshamn4</t>
  </si>
  <si>
    <t>Oxelosund4</t>
  </si>
  <si>
    <t>Vastervik4</t>
  </si>
  <si>
    <t>Luro4</t>
  </si>
  <si>
    <t>Haparanda4</t>
  </si>
  <si>
    <t>Halmstad4</t>
  </si>
  <si>
    <t>Hallo4</t>
  </si>
  <si>
    <t>HalmstadFlygplats4</t>
  </si>
  <si>
    <t>Göteborgs Stad</t>
  </si>
  <si>
    <t>Ago4</t>
  </si>
  <si>
    <t>Ago3</t>
  </si>
  <si>
    <t>Kalmar4</t>
  </si>
  <si>
    <t>Kalmar1</t>
  </si>
  <si>
    <t>Falkenberg4</t>
  </si>
  <si>
    <t>Halmstad5</t>
  </si>
  <si>
    <t>HalmstadFlygplats5</t>
  </si>
  <si>
    <t>Helsingborg4</t>
  </si>
  <si>
    <t>Kalix4</t>
  </si>
  <si>
    <t>Karlshamn4</t>
  </si>
  <si>
    <t>ODEN</t>
  </si>
  <si>
    <t>OlandsNorraUdde4</t>
  </si>
  <si>
    <t>Nynashamn4</t>
  </si>
  <si>
    <t>osgr</t>
  </si>
  <si>
    <t>Ringhals4</t>
  </si>
  <si>
    <t>Uddevalla4</t>
  </si>
  <si>
    <t>Utklippan1</t>
  </si>
  <si>
    <t>Utklippan4</t>
  </si>
  <si>
    <t>Vaderobod4</t>
  </si>
  <si>
    <t>Visby4</t>
  </si>
  <si>
    <t>Ystad4</t>
  </si>
  <si>
    <t>Gavle4</t>
  </si>
  <si>
    <t>1969-1983</t>
  </si>
  <si>
    <t>Kristineberg4</t>
  </si>
  <si>
    <t>Ringhals2</t>
  </si>
  <si>
    <t>Skagsudde4</t>
  </si>
  <si>
    <t>FlintenSW</t>
  </si>
  <si>
    <t>Furuogrund4</t>
  </si>
  <si>
    <t>Gronskar4</t>
  </si>
  <si>
    <t>Grundkallen4</t>
  </si>
  <si>
    <t>Grundkallen1</t>
  </si>
  <si>
    <t>Eggegrund4</t>
  </si>
  <si>
    <t>Farosund4</t>
  </si>
  <si>
    <t>Hoburg4</t>
  </si>
  <si>
    <t>Holick4</t>
  </si>
  <si>
    <t>2010-2016</t>
  </si>
  <si>
    <t>1878-</t>
  </si>
  <si>
    <t>1961-1982</t>
  </si>
  <si>
    <t>Oxelosund</t>
  </si>
  <si>
    <t>Simrishamn4</t>
  </si>
  <si>
    <t>Sydostbrotten1</t>
  </si>
  <si>
    <t>Understen4</t>
  </si>
  <si>
    <t>Smogen4</t>
  </si>
  <si>
    <t>Fladen4</t>
  </si>
  <si>
    <t>Havringe2</t>
  </si>
  <si>
    <t>1982-2018</t>
  </si>
  <si>
    <t>Satenas4</t>
  </si>
  <si>
    <t>Stromstad4</t>
  </si>
  <si>
    <t>SvenskaBjorn1</t>
  </si>
  <si>
    <t>TEMP,PSAL,DOXY,WIND</t>
  </si>
  <si>
    <t>1939-1984</t>
  </si>
  <si>
    <t>SodraOstersjon</t>
  </si>
  <si>
    <t>Södra Östersjön</t>
  </si>
  <si>
    <t>Galaxy</t>
  </si>
  <si>
    <t>2005-2011</t>
  </si>
  <si>
    <t>Göteborg-Krossholmen</t>
  </si>
  <si>
    <t>Svartklubben2</t>
  </si>
  <si>
    <t>1995-</t>
  </si>
  <si>
    <t>1941-1973</t>
  </si>
  <si>
    <t>1965-1996</t>
  </si>
  <si>
    <t>1976-2010</t>
  </si>
  <si>
    <t>1963-1979</t>
  </si>
  <si>
    <t>Ängelholm-Barkåkra Flygplats</t>
  </si>
  <si>
    <t>1946-</t>
  </si>
  <si>
    <t>1952-</t>
  </si>
  <si>
    <t>Bjuroklubb3</t>
  </si>
  <si>
    <t>Bjuroklubb4</t>
  </si>
  <si>
    <t>1945-1969</t>
  </si>
  <si>
    <t>Angelholm4</t>
  </si>
  <si>
    <t>Marviken4</t>
  </si>
  <si>
    <t>Hano4</t>
  </si>
  <si>
    <t>VenBS</t>
  </si>
  <si>
    <t>Ven4</t>
  </si>
  <si>
    <t>Vasteras4</t>
  </si>
  <si>
    <t>Amal4</t>
  </si>
  <si>
    <t>Faro4</t>
  </si>
  <si>
    <t>TEMP,PSAL,DOXY,FLUO,LGHT,PHYC,TURB,CURR,WAVE</t>
  </si>
  <si>
    <t>TEMP,PSAL,DOXY,FLUO,LGHT,PHYC,TURB,CURR,WIND,ATEM,ATMP,RELH</t>
  </si>
  <si>
    <t>VingaBS</t>
  </si>
  <si>
    <t>Vinga Bottensystem</t>
  </si>
  <si>
    <t>StenaNautica</t>
  </si>
  <si>
    <t>Stena Nautica</t>
  </si>
  <si>
    <t>Stenshuvud4</t>
  </si>
  <si>
    <t>Stena Spirit</t>
  </si>
  <si>
    <t>Stena Sassnitz</t>
  </si>
  <si>
    <t>Stena Adventurer</t>
  </si>
  <si>
    <t>Stena Britannica</t>
  </si>
  <si>
    <t>Stena Europe</t>
  </si>
  <si>
    <t>Stena Gothica</t>
  </si>
  <si>
    <t>Stena Hibernia</t>
  </si>
  <si>
    <t>Stena Scotia</t>
  </si>
  <si>
    <t>Stena Superfast X</t>
  </si>
  <si>
    <t>Stena Transit</t>
  </si>
  <si>
    <t>Stena Transporter</t>
  </si>
  <si>
    <t>StenaSpirit</t>
  </si>
  <si>
    <t>StenaSassnitz</t>
  </si>
  <si>
    <t>StenaEurope</t>
  </si>
  <si>
    <t>StenaGothica</t>
  </si>
  <si>
    <t>StenaAdventurer</t>
  </si>
  <si>
    <t>StenaHibernia</t>
  </si>
  <si>
    <t>StenaScotia</t>
  </si>
  <si>
    <t>StenaTransit</t>
  </si>
  <si>
    <t>StenaTransporter</t>
  </si>
  <si>
    <t>Urd</t>
  </si>
  <si>
    <t>Stena Line</t>
  </si>
  <si>
    <t>2017-2020</t>
  </si>
  <si>
    <t>2007-2020</t>
  </si>
  <si>
    <t>TEMP,CURR,WIND</t>
  </si>
  <si>
    <t>Stena Scandica</t>
  </si>
  <si>
    <t>StenaScandica</t>
  </si>
  <si>
    <t>2017-2019</t>
  </si>
  <si>
    <t>2017-2021</t>
  </si>
  <si>
    <t>TEMP,PSAL,CURR,WIND</t>
  </si>
  <si>
    <t>DATAVÄRD</t>
  </si>
  <si>
    <t>Bastad4</t>
  </si>
  <si>
    <t>Berga4</t>
  </si>
  <si>
    <t>Berga5</t>
  </si>
  <si>
    <t>Kullen4</t>
  </si>
  <si>
    <t>Glommen4</t>
  </si>
  <si>
    <t>Harnosand4</t>
  </si>
  <si>
    <t>Harno4</t>
  </si>
  <si>
    <t>Gran4</t>
  </si>
  <si>
    <t>1945-</t>
  </si>
  <si>
    <t>1939-1947</t>
  </si>
  <si>
    <t>Harg4</t>
  </si>
  <si>
    <t>Harsfjarden3</t>
  </si>
  <si>
    <t>Harstena4</t>
  </si>
  <si>
    <t>1942-2001</t>
  </si>
  <si>
    <t>Huvudskar4</t>
  </si>
  <si>
    <t>Herrvik4</t>
  </si>
  <si>
    <t>Lorudden4</t>
  </si>
  <si>
    <t>Lörudden</t>
  </si>
  <si>
    <t>Oregrund4</t>
  </si>
  <si>
    <t>Bramon3</t>
  </si>
  <si>
    <t>Blomman3</t>
  </si>
  <si>
    <t>1995-1999</t>
  </si>
  <si>
    <t xml:space="preserve">Åmål hamn        </t>
  </si>
  <si>
    <t xml:space="preserve">AmalHamn3        </t>
  </si>
  <si>
    <t>Falsterbo4</t>
  </si>
  <si>
    <t>1941-</t>
  </si>
  <si>
    <t>Valdemarsvik4</t>
  </si>
  <si>
    <t>Stockholm-Observatoriekullen A</t>
  </si>
  <si>
    <t>1961-</t>
  </si>
  <si>
    <t>Storohamn4</t>
  </si>
  <si>
    <t>Säve</t>
  </si>
  <si>
    <t>SaveSkalvisered</t>
  </si>
  <si>
    <t>Säve-Skålvisered</t>
  </si>
  <si>
    <t>1951-2006</t>
  </si>
  <si>
    <t>Save4</t>
  </si>
  <si>
    <t>Dingle4</t>
  </si>
  <si>
    <t>Axstal4</t>
  </si>
  <si>
    <t>GotskaSandon4</t>
  </si>
  <si>
    <t>Holma4</t>
  </si>
  <si>
    <t>Hudiksvall4</t>
  </si>
  <si>
    <t>Husaro4</t>
  </si>
  <si>
    <t>Karlsborg4</t>
  </si>
  <si>
    <t>Kristianstad4</t>
  </si>
  <si>
    <t>Mariestad4</t>
  </si>
  <si>
    <t>Maseskar4</t>
  </si>
  <si>
    <t>Mockfjard4</t>
  </si>
  <si>
    <t>Nordmaling4</t>
  </si>
  <si>
    <t>OvreGranso4</t>
  </si>
  <si>
    <t>Pitsund4</t>
  </si>
  <si>
    <t>Rodkallen4</t>
  </si>
  <si>
    <t>Sandhamn4</t>
  </si>
  <si>
    <t>Skag4</t>
  </si>
  <si>
    <t>Skelleftea4</t>
  </si>
  <si>
    <t>Smygehuk4</t>
  </si>
  <si>
    <t>Stabbo4</t>
  </si>
  <si>
    <t>StoraKarlso4</t>
  </si>
  <si>
    <t>Sundsvall4</t>
  </si>
  <si>
    <t>Torslanda4</t>
  </si>
  <si>
    <t>Trosa4</t>
  </si>
  <si>
    <t>Umea4</t>
  </si>
  <si>
    <t>Ungskar4</t>
  </si>
  <si>
    <t>Uto4</t>
  </si>
  <si>
    <t>Vaddo4</t>
  </si>
  <si>
    <t>Vanersborg4</t>
  </si>
  <si>
    <t>Vartan4</t>
  </si>
  <si>
    <t>Visingso4</t>
  </si>
  <si>
    <t>Akershus4</t>
  </si>
  <si>
    <t>OlandsSodraUdde4</t>
  </si>
  <si>
    <t>Norrtälje 2</t>
  </si>
  <si>
    <t>Norrtalje5</t>
  </si>
  <si>
    <t>SÄDVAJAURE</t>
  </si>
  <si>
    <t>Sandhammaren4</t>
  </si>
  <si>
    <t>Sikea3</t>
  </si>
  <si>
    <t>Gustavsberg4</t>
  </si>
  <si>
    <t>Hallgrund3</t>
  </si>
  <si>
    <t>Haraholmen4</t>
  </si>
  <si>
    <t>Ido3</t>
  </si>
  <si>
    <t>Jarnas3</t>
  </si>
  <si>
    <t>Storjungfrun4</t>
  </si>
  <si>
    <t>Tralhavet3</t>
  </si>
  <si>
    <t>Vaktaren3</t>
  </si>
  <si>
    <t>1926-1965</t>
  </si>
  <si>
    <t>Stockholm-Observatoriekullen</t>
  </si>
  <si>
    <t>StockholmObservatoriekullen</t>
  </si>
  <si>
    <t>AngelholmBarkakraFlygplats</t>
  </si>
  <si>
    <t>KalmarFlygplats</t>
  </si>
  <si>
    <t>KarlstadFlygplats</t>
  </si>
  <si>
    <t>LuleaKallaxFlygplats</t>
  </si>
  <si>
    <t>MalmoSturupFlygplats</t>
  </si>
  <si>
    <t>SkellefteaFlygplats</t>
  </si>
  <si>
    <t>SundsvallTimraFlygplats</t>
  </si>
  <si>
    <t>TrollhattansFlygplats</t>
  </si>
  <si>
    <t>UmeaFlygplats</t>
  </si>
  <si>
    <t>VisbyFlygplats</t>
  </si>
  <si>
    <t>Ljungskile4</t>
  </si>
  <si>
    <t>SST</t>
  </si>
  <si>
    <t>Ytvattentemperaturstation</t>
  </si>
  <si>
    <t>P223892BS</t>
  </si>
  <si>
    <t>DOXY AKTIV</t>
  </si>
  <si>
    <t>LGHT AKTIV</t>
  </si>
  <si>
    <t>PHYC AKTIV</t>
  </si>
  <si>
    <t>FLUO</t>
  </si>
  <si>
    <t>FLUO AKTIV</t>
  </si>
  <si>
    <t>TURB</t>
  </si>
  <si>
    <t>TURB AKTIV</t>
  </si>
  <si>
    <t>Klorofyll-fluorescens</t>
  </si>
  <si>
    <t>Phycocyanin-fluorescens</t>
  </si>
  <si>
    <t>TEMP,PSAL,TURB</t>
  </si>
  <si>
    <t>1926-1998</t>
  </si>
  <si>
    <t>1941-1996</t>
  </si>
  <si>
    <t>1941-1948</t>
  </si>
  <si>
    <t>1958-1986</t>
  </si>
  <si>
    <t>1970-1995</t>
  </si>
  <si>
    <t>1939-2007</t>
  </si>
  <si>
    <t>1949-1967</t>
  </si>
  <si>
    <t>1942-1961</t>
  </si>
  <si>
    <t>1961-1979</t>
  </si>
  <si>
    <t>1976-2008</t>
  </si>
  <si>
    <t>1925-2013</t>
  </si>
  <si>
    <t>2008-</t>
  </si>
  <si>
    <t>1973-1988</t>
  </si>
  <si>
    <t>1970-1990</t>
  </si>
  <si>
    <t>1925-1996</t>
  </si>
  <si>
    <t>1961-1995</t>
  </si>
  <si>
    <t>1968-1996</t>
  </si>
  <si>
    <t>1925-2012</t>
  </si>
  <si>
    <t>1987-1995</t>
  </si>
  <si>
    <t>1926-2008</t>
  </si>
  <si>
    <t>1969-1980</t>
  </si>
  <si>
    <t>1949-1958</t>
  </si>
  <si>
    <t>2004-2010</t>
  </si>
  <si>
    <t>1993-</t>
  </si>
  <si>
    <t>1949-1969</t>
  </si>
  <si>
    <t>1927-1996</t>
  </si>
  <si>
    <t>1944-</t>
  </si>
  <si>
    <t>1940-</t>
  </si>
  <si>
    <t>1961-1989</t>
  </si>
  <si>
    <t>1986-1994</t>
  </si>
  <si>
    <t>1943-</t>
  </si>
  <si>
    <t>1970-</t>
  </si>
  <si>
    <t>1939-1996</t>
  </si>
  <si>
    <t>1926-1996</t>
  </si>
  <si>
    <t>1942-</t>
  </si>
  <si>
    <t>1990-</t>
  </si>
  <si>
    <t>1965-1997</t>
  </si>
  <si>
    <t>1984-1995</t>
  </si>
  <si>
    <t>1939-1990</t>
  </si>
  <si>
    <t>1961-1964</t>
  </si>
  <si>
    <t>1972-</t>
  </si>
  <si>
    <t>1981-1999</t>
  </si>
  <si>
    <t>1996-</t>
  </si>
  <si>
    <t>1969-</t>
  </si>
  <si>
    <t>1944-1987</t>
  </si>
  <si>
    <t>1961-1984</t>
  </si>
  <si>
    <t>1996-2016</t>
  </si>
  <si>
    <t>1926-1995</t>
  </si>
  <si>
    <t>1961-1993</t>
  </si>
  <si>
    <t>1941-1995</t>
  </si>
  <si>
    <t>1986-1993</t>
  </si>
  <si>
    <t>1985-1999</t>
  </si>
  <si>
    <t>1955-</t>
  </si>
  <si>
    <t>2000-</t>
  </si>
  <si>
    <t>1961-1987</t>
  </si>
  <si>
    <t>1964-1972</t>
  </si>
  <si>
    <t>1980-1997</t>
  </si>
  <si>
    <t>1966-1995</t>
  </si>
  <si>
    <t>1965-1969</t>
  </si>
  <si>
    <t>1939-1967</t>
  </si>
  <si>
    <t>1941-1955</t>
  </si>
  <si>
    <t>1965-1999</t>
  </si>
  <si>
    <t>1971-1979</t>
  </si>
  <si>
    <t>1970-1984</t>
  </si>
  <si>
    <t>1941-1988</t>
  </si>
  <si>
    <t>1946-2012</t>
  </si>
  <si>
    <t>1970-1986</t>
  </si>
  <si>
    <t>1972-1981</t>
  </si>
  <si>
    <t>1859-</t>
  </si>
  <si>
    <t>1969-1996</t>
  </si>
  <si>
    <t>1949-1973</t>
  </si>
  <si>
    <t>1961-1981</t>
  </si>
  <si>
    <t>1983-1994</t>
  </si>
  <si>
    <t>1964-1993</t>
  </si>
  <si>
    <t>1939-1977</t>
  </si>
  <si>
    <t>1978-2007</t>
  </si>
  <si>
    <t>1949-1992</t>
  </si>
  <si>
    <t>1972-1996</t>
  </si>
  <si>
    <t>1977-1995</t>
  </si>
  <si>
    <t>1966-</t>
  </si>
  <si>
    <t>1990-1993</t>
  </si>
  <si>
    <t>1961-1972</t>
  </si>
  <si>
    <t>1940-1998</t>
  </si>
  <si>
    <t>1939-1995</t>
  </si>
  <si>
    <t>1969-1992</t>
  </si>
  <si>
    <t>1965-1967</t>
  </si>
  <si>
    <t>1926-</t>
  </si>
  <si>
    <t>1925-1986</t>
  </si>
  <si>
    <t>1949-</t>
  </si>
  <si>
    <t>1965-1986</t>
  </si>
  <si>
    <t>1939-1986</t>
  </si>
  <si>
    <t>1961-1968</t>
  </si>
  <si>
    <t>1945-1956</t>
  </si>
  <si>
    <t>1945-2002</t>
  </si>
  <si>
    <t>1998-2003</t>
  </si>
  <si>
    <t>1971-2015</t>
  </si>
  <si>
    <t>2002-2005</t>
  </si>
  <si>
    <t>1871-2020</t>
  </si>
  <si>
    <t>1945-1952</t>
  </si>
  <si>
    <t>1868-</t>
  </si>
  <si>
    <t>1962-1996</t>
  </si>
  <si>
    <t>1848-</t>
  </si>
  <si>
    <t>1930-</t>
  </si>
  <si>
    <t>1958-</t>
  </si>
  <si>
    <t>1908-1995</t>
  </si>
  <si>
    <t>1965-2002</t>
  </si>
  <si>
    <t>1945-1966</t>
  </si>
  <si>
    <t>1968-1982</t>
  </si>
  <si>
    <t>1965-2020</t>
  </si>
  <si>
    <t>2002-2010</t>
  </si>
  <si>
    <t>2002-2008</t>
  </si>
  <si>
    <t>1961-1980</t>
  </si>
  <si>
    <t>1961-1983</t>
  </si>
  <si>
    <t>1879-</t>
  </si>
  <si>
    <t>1968-1973</t>
  </si>
  <si>
    <t>1858-</t>
  </si>
  <si>
    <t>1943-1976</t>
  </si>
  <si>
    <t>1977-1986</t>
  </si>
  <si>
    <t>2013-2015</t>
  </si>
  <si>
    <t>TEMP,PSAL,DOXY,CURR</t>
  </si>
  <si>
    <t>2015-2016</t>
  </si>
  <si>
    <t>2013-2014-</t>
  </si>
  <si>
    <t>1978-1982</t>
  </si>
  <si>
    <t>1978-1996</t>
  </si>
  <si>
    <t>1976-1985</t>
  </si>
  <si>
    <t>1972-1982</t>
  </si>
  <si>
    <t>1976-1980</t>
  </si>
  <si>
    <t>1955-1968</t>
  </si>
  <si>
    <t>1973-2017</t>
  </si>
  <si>
    <t>Buttle4</t>
  </si>
  <si>
    <t>Buttle</t>
  </si>
  <si>
    <t>1962-1983</t>
  </si>
  <si>
    <t>Mästerby</t>
  </si>
  <si>
    <t>RomaV</t>
  </si>
  <si>
    <t>Roma V</t>
  </si>
  <si>
    <t>Trafikverket</t>
  </si>
  <si>
    <t>Roma4</t>
  </si>
  <si>
    <t>Roma</t>
  </si>
  <si>
    <t>1961-1974</t>
  </si>
  <si>
    <t>RomaA</t>
  </si>
  <si>
    <t>Roma A</t>
  </si>
  <si>
    <t>StenstuguForsoksgard</t>
  </si>
  <si>
    <t>Stenstugu Försöksgård</t>
  </si>
  <si>
    <t>Oskarshamn Vind</t>
  </si>
  <si>
    <t>PITE ÄLV</t>
  </si>
  <si>
    <t>Masterby4</t>
  </si>
  <si>
    <t>StockholmObservatoriekullenA</t>
  </si>
  <si>
    <t>SST/MET</t>
  </si>
  <si>
    <t>FREJ</t>
  </si>
  <si>
    <t>100011229</t>
  </si>
  <si>
    <t>TOSTEBERGA</t>
  </si>
  <si>
    <t>Tosteberga</t>
  </si>
  <si>
    <t>55-59.801</t>
  </si>
  <si>
    <t>14-26.744</t>
  </si>
  <si>
    <t>100012079</t>
  </si>
  <si>
    <t>100011489</t>
  </si>
  <si>
    <t>GÄVESKÄR NO</t>
  </si>
  <si>
    <t>57-39.88119</t>
  </si>
  <si>
    <t>11-46.4576084</t>
  </si>
  <si>
    <t>Landskrona1</t>
  </si>
  <si>
    <t>100011231</t>
  </si>
  <si>
    <t>YMER</t>
  </si>
  <si>
    <t>100011230</t>
  </si>
  <si>
    <t>Nordkoster1</t>
  </si>
  <si>
    <t>SvenskaHogarna4</t>
  </si>
  <si>
    <t>2022-</t>
  </si>
  <si>
    <t>Chalmers</t>
  </si>
  <si>
    <t>LJUSNE</t>
  </si>
  <si>
    <t>Ljusne Lotsstation</t>
  </si>
  <si>
    <t>1967-2023</t>
  </si>
  <si>
    <t>gotg</t>
  </si>
  <si>
    <t>Stockholms Hamnar AB</t>
  </si>
  <si>
    <t>Hargs Hamn AB</t>
  </si>
  <si>
    <t>GoteborgHisingsbron</t>
  </si>
  <si>
    <t>Göteborg-Hisingsbron</t>
  </si>
  <si>
    <t>LjusneLotsstation</t>
  </si>
  <si>
    <t>LjusneOrrskarskajen</t>
  </si>
  <si>
    <t>Verkö</t>
  </si>
  <si>
    <t>Jordfallsbron</t>
  </si>
  <si>
    <t>jord</t>
  </si>
  <si>
    <t>gohi</t>
  </si>
  <si>
    <t>OxelosundLotsstation</t>
  </si>
  <si>
    <t>OXELÖSUND VINTERKLASEN</t>
  </si>
  <si>
    <t>Oxelösund Lotsstation</t>
  </si>
  <si>
    <t>OXELÖSUND LOTSSTATION</t>
  </si>
  <si>
    <t>AKTIV</t>
  </si>
  <si>
    <t>Måseskär (SMHI)</t>
  </si>
  <si>
    <t>Bjuröklubb (SMHI)</t>
  </si>
  <si>
    <t>ATKIV</t>
  </si>
  <si>
    <t>Brämön (SMHI)</t>
  </si>
  <si>
    <t>Falsterbo (SMHI)</t>
  </si>
  <si>
    <t>Hallands Väderö (SMHI)</t>
  </si>
  <si>
    <t>Gotska Sandön (SMHI)</t>
  </si>
  <si>
    <t>Hanö (SMHI)</t>
  </si>
  <si>
    <t>Harstena (SMHI)</t>
  </si>
  <si>
    <t>Holmön (SMHI)</t>
  </si>
  <si>
    <t>Järnäsklubb (SMHI)</t>
  </si>
  <si>
    <t>Kuggören (SMHI)</t>
  </si>
  <si>
    <t>Lungö (SMHI)</t>
  </si>
  <si>
    <t>Naven (SMHI)</t>
  </si>
  <si>
    <t>AKITV</t>
  </si>
  <si>
    <t>Nidingen (SMHI)</t>
  </si>
  <si>
    <t>Ålandets grund</t>
  </si>
  <si>
    <t>Frihamnen (SH)</t>
  </si>
  <si>
    <t>Älvängen</t>
  </si>
  <si>
    <t>RAIN</t>
  </si>
  <si>
    <t>Regnintensitet</t>
  </si>
  <si>
    <t>HAIL</t>
  </si>
  <si>
    <t>Hagelintensitet</t>
  </si>
  <si>
    <t>WIND,ATEM,ATMP,RELH,VISU,RAIN,HAIL</t>
  </si>
  <si>
    <t>RAIN AKTIV</t>
  </si>
  <si>
    <t>HAIL AKTIV</t>
  </si>
  <si>
    <t>WIND,DRYT,ATMP,RELH,VISU</t>
  </si>
  <si>
    <t>WIND,DRYT,RELH,VISU</t>
  </si>
  <si>
    <t>TEMP,WIND,DRYT,ATMP,RELH</t>
  </si>
  <si>
    <t>TEMP,PSAL,DOXY,FLUO,TURB,CURR,WIND,DRYT,ATMP</t>
  </si>
  <si>
    <t>TEMP,PSAL,CURR,WIND,DRYT,ATMP</t>
  </si>
  <si>
    <t>TEMP,PSAL,CURR,WIND,DRYT</t>
  </si>
  <si>
    <t>TEMP,WAVE,DRYT</t>
  </si>
  <si>
    <t>TEMP,WIND,DRYTP,ATMP,RELH,VISU</t>
  </si>
  <si>
    <t>SLEV,TEMP,DRYT,RELH</t>
  </si>
  <si>
    <t>WIND,DRYT,VISU</t>
  </si>
  <si>
    <t>WIND,DRYT,ATMP,VISU</t>
  </si>
  <si>
    <t>TEMP,PSAL,CURR,WAVE,WIND,DRYT,ATMP</t>
  </si>
  <si>
    <t>WIND,DRYT,ATMP</t>
  </si>
  <si>
    <t>WIND,DRYT,RELH</t>
  </si>
  <si>
    <t>WIND,DRYT</t>
  </si>
  <si>
    <t>WIND,DRYT,ATMP,RELH</t>
  </si>
  <si>
    <t>SLEV,TEMP,CURR,WIND,DRYT,ATMP,VISU</t>
  </si>
  <si>
    <t>TEMP,WIND,DRYT,ATMP,RELH,RAIN,HAIL</t>
  </si>
  <si>
    <t>WIND,DRYT,ATMP,RELH,RAIN,HAIL</t>
  </si>
  <si>
    <t>SLEV,WIND,DRYT,VISU</t>
  </si>
  <si>
    <t>TEMP,WIND,DRYT,RELH</t>
  </si>
  <si>
    <t>TEMP,WIND,DRYT,ATMP,RELH,VISU</t>
  </si>
  <si>
    <t>TEMP,PSAL,DOXY,FLUO,LGHT,PHYC,TURB,DRYT</t>
  </si>
  <si>
    <t>SLEV,TEMP,PSAL,CURR,WIND,DRYT,ATMP,VISU</t>
  </si>
  <si>
    <t>SLEV,TEMP,WIND,DRYT, ATMP,RELH</t>
  </si>
  <si>
    <t>DRYT AKTIV</t>
  </si>
  <si>
    <t>Helsingborg Öresund</t>
  </si>
  <si>
    <t>Gäveskär</t>
  </si>
  <si>
    <t>Kapellskär (SH)</t>
  </si>
  <si>
    <t>Kälsholmen</t>
  </si>
  <si>
    <t>Köpmanholmen Hamn</t>
  </si>
  <si>
    <t>Nynäs Oljehamn</t>
  </si>
  <si>
    <t>SKARPÖ</t>
  </si>
  <si>
    <t>ÖRSKÄR</t>
  </si>
  <si>
    <t>Örskär (SMHI)</t>
  </si>
  <si>
    <t>LUNGÖ</t>
  </si>
  <si>
    <t>Stenungsund Borealis</t>
  </si>
  <si>
    <t>CURR,ATMP</t>
  </si>
  <si>
    <t>Stenungsund Petroport</t>
  </si>
  <si>
    <t>CURR,WIND,DRYT,ATMP</t>
  </si>
  <si>
    <t>Stenungsund Vattenfall</t>
  </si>
  <si>
    <t>STORÖN</t>
  </si>
  <si>
    <t>Storön (SMHI)</t>
  </si>
  <si>
    <t>Svenska Högarna (SMHI)</t>
  </si>
  <si>
    <t>SVENSKA HÖGARNA</t>
  </si>
  <si>
    <t>UTKLIPPAN</t>
  </si>
  <si>
    <t>Utklippan (SMHI)</t>
  </si>
  <si>
    <t>Väderöarna (SMHI)</t>
  </si>
  <si>
    <t>VÄDERÖARNA</t>
  </si>
  <si>
    <t>Visingsö (SMHI)</t>
  </si>
  <si>
    <t>VISINGSÖ</t>
  </si>
  <si>
    <t>Barseback2</t>
  </si>
  <si>
    <t>Torshamnen GBG Hamn</t>
  </si>
  <si>
    <t>2009-2024</t>
  </si>
  <si>
    <t>SJÖV ÖPPNA DATA</t>
  </si>
  <si>
    <t>SMHI ÖPPNA DATA</t>
  </si>
  <si>
    <t>Helsingborg Sydhamnen (HHAB)</t>
  </si>
  <si>
    <t>Helsingborg Öresund (HHAB)</t>
  </si>
  <si>
    <t>TEMP,PSAL,MCURR,WAVE,WIND,DRYT,ATMP</t>
  </si>
  <si>
    <t xml:space="preserve">Karlsro (Teststation) </t>
  </si>
  <si>
    <t>Karlsro Lab</t>
  </si>
  <si>
    <t>KarlsroLab</t>
  </si>
  <si>
    <t>Vågparametrar; signifikant och maximal våghöjd, vågperiod, vågriktning och spektrum</t>
  </si>
  <si>
    <t>Pite-Rönnskär (SMHI)</t>
  </si>
  <si>
    <t>Bönan 2</t>
  </si>
  <si>
    <t>E4 bron Södertälje</t>
  </si>
  <si>
    <t>Gävle Hamn</t>
  </si>
  <si>
    <t>Göteborgs stad</t>
  </si>
  <si>
    <t>Göteborg-Tångudden</t>
  </si>
  <si>
    <t>Halmstad 2</t>
  </si>
  <si>
    <t>Iggesund 2</t>
  </si>
  <si>
    <t>Juten-Djurökvarn</t>
  </si>
  <si>
    <t>Kalix-Karlsborg</t>
  </si>
  <si>
    <t>Kalix-Storön</t>
  </si>
  <si>
    <t>Kalmar 2</t>
  </si>
  <si>
    <t>Köping (SjöV)</t>
  </si>
  <si>
    <t>Nynäshamn Fiskehamn</t>
  </si>
  <si>
    <t>Skagsudde 2</t>
  </si>
  <si>
    <t>Skellefteå-Gåsören</t>
  </si>
  <si>
    <t>Stockholm-Skeppsholmen</t>
  </si>
  <si>
    <t>Visby 2</t>
  </si>
  <si>
    <t>Västervik Lucernahamnen</t>
  </si>
  <si>
    <t>Ystad 2</t>
  </si>
  <si>
    <t>SAMSA</t>
  </si>
  <si>
    <t>Skillinge (SMHI)</t>
  </si>
  <si>
    <t>Skarpö (SMHI)</t>
  </si>
  <si>
    <t>Svea</t>
  </si>
  <si>
    <t>Landsort (SMHI)</t>
  </si>
  <si>
    <t>LinasundetSikt</t>
  </si>
  <si>
    <t>Rödkallen (SMHI)</t>
  </si>
  <si>
    <t>SLU/SMHI</t>
  </si>
  <si>
    <t>SundsvallsHamn</t>
  </si>
  <si>
    <t>Sundsvalls Hamn</t>
  </si>
  <si>
    <t>SJOV/SMHI</t>
  </si>
  <si>
    <t>15/2545</t>
  </si>
  <si>
    <t>25/2099</t>
  </si>
  <si>
    <t>33/35119</t>
  </si>
  <si>
    <t>32/35109</t>
  </si>
  <si>
    <t>34/35185</t>
  </si>
  <si>
    <t>91/35136</t>
  </si>
  <si>
    <t>5/35170</t>
  </si>
  <si>
    <t>36/35213</t>
  </si>
  <si>
    <t>86/35137</t>
  </si>
  <si>
    <t>12/2179</t>
  </si>
  <si>
    <t>158/2055</t>
  </si>
  <si>
    <t>185/35236</t>
  </si>
  <si>
    <t>40/35240</t>
  </si>
  <si>
    <t>169/33095</t>
  </si>
  <si>
    <t>168/33096</t>
  </si>
  <si>
    <t>193/33097</t>
  </si>
  <si>
    <t>183/33089</t>
  </si>
  <si>
    <t>124/33093</t>
  </si>
  <si>
    <t>45/35110</t>
  </si>
  <si>
    <t>58/35101</t>
  </si>
  <si>
    <t>59/35103</t>
  </si>
  <si>
    <t>161/2157</t>
  </si>
  <si>
    <t>60/35105</t>
  </si>
  <si>
    <t>147/2095</t>
  </si>
  <si>
    <t>53/35146</t>
  </si>
  <si>
    <t>170/2088</t>
  </si>
  <si>
    <t>155/2130</t>
  </si>
  <si>
    <t>165/2507</t>
  </si>
  <si>
    <t>2/35102</t>
  </si>
  <si>
    <t>64/35180</t>
  </si>
  <si>
    <t>65/35179</t>
  </si>
  <si>
    <t>68/35152</t>
  </si>
  <si>
    <t>55/35149</t>
  </si>
  <si>
    <t>173/35112</t>
  </si>
  <si>
    <t>148/2083</t>
  </si>
  <si>
    <t>156/2085</t>
  </si>
  <si>
    <t>159/2056</t>
  </si>
  <si>
    <t>76/2105</t>
  </si>
  <si>
    <t>77/35200</t>
  </si>
  <si>
    <t>157/2320</t>
  </si>
  <si>
    <t>110/35138</t>
  </si>
  <si>
    <t>79/35168</t>
  </si>
  <si>
    <t>154/2111</t>
  </si>
  <si>
    <t>151/2110</t>
  </si>
  <si>
    <t>109/2061</t>
  </si>
  <si>
    <t>176/2069</t>
  </si>
  <si>
    <t>115/35183</t>
  </si>
  <si>
    <t>35133</t>
  </si>
  <si>
    <t>89/35133</t>
  </si>
  <si>
    <t>177/35219</t>
  </si>
  <si>
    <t>94/35159</t>
  </si>
  <si>
    <t>114/35144</t>
  </si>
  <si>
    <t>163/2228</t>
  </si>
  <si>
    <t>90/2080</t>
  </si>
  <si>
    <t>14/2541</t>
  </si>
  <si>
    <t>171/35120</t>
  </si>
  <si>
    <t>31/35177</t>
  </si>
  <si>
    <t>30/35178</t>
  </si>
  <si>
    <t>42/35203</t>
  </si>
  <si>
    <t>43/35115</t>
  </si>
  <si>
    <t>56/35148</t>
  </si>
  <si>
    <t>134/35124</t>
  </si>
  <si>
    <t>Iggesund1</t>
  </si>
  <si>
    <t>61/35131</t>
  </si>
  <si>
    <t>172/35209</t>
  </si>
  <si>
    <t>67/35154</t>
  </si>
  <si>
    <t>100/35171</t>
  </si>
  <si>
    <t>13/2076</t>
  </si>
  <si>
    <t>69/35104</t>
  </si>
  <si>
    <t>95/35174</t>
  </si>
  <si>
    <t>207/97280</t>
  </si>
  <si>
    <t>223/151280</t>
  </si>
  <si>
    <t>203/127130</t>
  </si>
  <si>
    <t>205/52240</t>
  </si>
  <si>
    <t>111/35122</t>
  </si>
  <si>
    <t>186/35234</t>
  </si>
  <si>
    <t>39/35197</t>
  </si>
  <si>
    <t>41/35175</t>
  </si>
  <si>
    <t>211/89230</t>
  </si>
  <si>
    <t>44/35210</t>
  </si>
  <si>
    <t>214/87140</t>
  </si>
  <si>
    <t>137/68560</t>
  </si>
  <si>
    <t>215/140460</t>
  </si>
  <si>
    <t>217/117430</t>
  </si>
  <si>
    <t>225/87440</t>
  </si>
  <si>
    <t>213/64020</t>
  </si>
  <si>
    <t>113/35116</t>
  </si>
  <si>
    <t>2545</t>
  </si>
  <si>
    <t>35119</t>
  </si>
  <si>
    <t>2099</t>
  </si>
  <si>
    <t>35109</t>
  </si>
  <si>
    <t>35170</t>
  </si>
  <si>
    <t>35185</t>
  </si>
  <si>
    <t>35213</t>
  </si>
  <si>
    <t>35136</t>
  </si>
  <si>
    <t>35137</t>
  </si>
  <si>
    <t>2179</t>
  </si>
  <si>
    <t>2055</t>
  </si>
  <si>
    <t>35240</t>
  </si>
  <si>
    <t>35236</t>
  </si>
  <si>
    <t>35177</t>
  </si>
  <si>
    <t>33095</t>
  </si>
  <si>
    <t>33096</t>
  </si>
  <si>
    <t>35203</t>
  </si>
  <si>
    <t>33097</t>
  </si>
  <si>
    <t>33089</t>
  </si>
  <si>
    <t>33093</t>
  </si>
  <si>
    <r>
      <rPr>
        <sz val="11"/>
        <color rgb="FFFF0000"/>
        <rFont val="Calibri"/>
        <family val="2"/>
        <scheme val="minor"/>
      </rPr>
      <t>?</t>
    </r>
    <r>
      <rPr>
        <sz val="11"/>
        <color theme="1"/>
        <rFont val="Calibri"/>
        <family val="2"/>
        <scheme val="minor"/>
      </rPr>
      <t>/153</t>
    </r>
  </si>
  <si>
    <t>2588</t>
  </si>
  <si>
    <t>35115</t>
  </si>
  <si>
    <t>212/62260</t>
  </si>
  <si>
    <t>35110</t>
  </si>
  <si>
    <t>35/35121</t>
  </si>
  <si>
    <t>129/35181</t>
  </si>
  <si>
    <t>130/35182</t>
  </si>
  <si>
    <t>35148</t>
  </si>
  <si>
    <t>35124</t>
  </si>
  <si>
    <t>216/139260</t>
  </si>
  <si>
    <t>35101</t>
  </si>
  <si>
    <t>35103</t>
  </si>
  <si>
    <t>2157</t>
  </si>
  <si>
    <t>35105</t>
  </si>
  <si>
    <t>60/35106</t>
  </si>
  <si>
    <t xml:space="preserve">Kalix Karlsborg </t>
  </si>
  <si>
    <t>104/35157</t>
  </si>
  <si>
    <t>99/35184</t>
  </si>
  <si>
    <t>35131</t>
  </si>
  <si>
    <t>2095</t>
  </si>
  <si>
    <t>35146</t>
  </si>
  <si>
    <t>2088</t>
  </si>
  <si>
    <t>2130</t>
  </si>
  <si>
    <t>35102</t>
  </si>
  <si>
    <t>2507</t>
  </si>
  <si>
    <t>35180</t>
  </si>
  <si>
    <t>35179</t>
  </si>
  <si>
    <t>35154</t>
  </si>
  <si>
    <t>35209</t>
  </si>
  <si>
    <t>202/128390</t>
  </si>
  <si>
    <t>35149</t>
  </si>
  <si>
    <t>35152</t>
  </si>
  <si>
    <t>MalmoOljehamnInre</t>
  </si>
  <si>
    <t>226</t>
  </si>
  <si>
    <t>Malmö Oljehamn Inre</t>
  </si>
  <si>
    <t>MalmoOljehamnYttre</t>
  </si>
  <si>
    <t>CMP</t>
  </si>
  <si>
    <t>Malmö Oljehamn Yttre</t>
  </si>
  <si>
    <t>227</t>
  </si>
  <si>
    <t>35104</t>
  </si>
  <si>
    <t>2076</t>
  </si>
  <si>
    <t>35171</t>
  </si>
  <si>
    <t>220/71190</t>
  </si>
  <si>
    <t>70/35194</t>
  </si>
  <si>
    <t>131/81540</t>
  </si>
  <si>
    <t>1/35101</t>
  </si>
  <si>
    <t>35112</t>
  </si>
  <si>
    <t>2083</t>
  </si>
  <si>
    <r>
      <t>71/</t>
    </r>
    <r>
      <rPr>
        <sz val="11"/>
        <color rgb="FFFF0000"/>
        <rFont val="Calibri"/>
        <family val="2"/>
        <scheme val="minor"/>
      </rPr>
      <t>?</t>
    </r>
  </si>
  <si>
    <r>
      <t>133/</t>
    </r>
    <r>
      <rPr>
        <sz val="11"/>
        <color rgb="FFFF0000"/>
        <rFont val="Calibri"/>
        <family val="2"/>
        <scheme val="minor"/>
      </rPr>
      <t>?</t>
    </r>
  </si>
  <si>
    <r>
      <t>140/</t>
    </r>
    <r>
      <rPr>
        <sz val="11"/>
        <color rgb="FFFF0000"/>
        <rFont val="Calibri"/>
        <family val="2"/>
        <scheme val="minor"/>
      </rPr>
      <t>?</t>
    </r>
  </si>
  <si>
    <t>35200</t>
  </si>
  <si>
    <t>2529</t>
  </si>
  <si>
    <t>2056</t>
  </si>
  <si>
    <t>188/35118</t>
  </si>
  <si>
    <t>Oskarshamn2</t>
  </si>
  <si>
    <t>2085</t>
  </si>
  <si>
    <r>
      <rPr>
        <sz val="11"/>
        <rFont val="Calibri"/>
        <family val="2"/>
        <scheme val="minor"/>
      </rPr>
      <t>72/</t>
    </r>
    <r>
      <rPr>
        <sz val="11"/>
        <color rgb="FFFF0000"/>
        <rFont val="Calibri"/>
        <family val="2"/>
        <scheme val="minor"/>
      </rPr>
      <t>?</t>
    </r>
  </si>
  <si>
    <t>181/33084</t>
  </si>
  <si>
    <t>197/108320</t>
  </si>
  <si>
    <r>
      <t>105/</t>
    </r>
    <r>
      <rPr>
        <sz val="11"/>
        <color rgb="FFFF0000"/>
        <rFont val="Calibri"/>
        <family val="2"/>
        <scheme val="minor"/>
      </rPr>
      <t>?</t>
    </r>
  </si>
  <si>
    <t>2105</t>
  </si>
  <si>
    <r>
      <t>76/</t>
    </r>
    <r>
      <rPr>
        <sz val="11"/>
        <color rgb="FFFF0000"/>
        <rFont val="Calibri"/>
        <family val="2"/>
        <scheme val="minor"/>
      </rPr>
      <t>?</t>
    </r>
  </si>
  <si>
    <t>2320</t>
  </si>
  <si>
    <t>35138</t>
  </si>
  <si>
    <t>162/30488</t>
  </si>
  <si>
    <t>30488</t>
  </si>
  <si>
    <t>35168</t>
  </si>
  <si>
    <t>35178</t>
  </si>
  <si>
    <r>
      <t>141/</t>
    </r>
    <r>
      <rPr>
        <sz val="11"/>
        <color rgb="FFFF0000"/>
        <rFont val="Calibri"/>
        <family val="2"/>
        <scheme val="minor"/>
      </rPr>
      <t>?</t>
    </r>
  </si>
  <si>
    <t>Blockhusudden (SH)</t>
  </si>
  <si>
    <t>Kapellskär</t>
  </si>
  <si>
    <r>
      <t>108/</t>
    </r>
    <r>
      <rPr>
        <sz val="11"/>
        <color rgb="FFFF0000"/>
        <rFont val="Calibri"/>
        <family val="2"/>
        <scheme val="minor"/>
      </rPr>
      <t>?</t>
    </r>
  </si>
  <si>
    <t>63/35123</t>
  </si>
  <si>
    <t>54/35155</t>
  </si>
  <si>
    <r>
      <t>112/</t>
    </r>
    <r>
      <rPr>
        <sz val="11"/>
        <color rgb="FFFF0000"/>
        <rFont val="Calibri"/>
        <family val="2"/>
        <scheme val="minor"/>
      </rPr>
      <t>?</t>
    </r>
  </si>
  <si>
    <t>23/38006</t>
  </si>
  <si>
    <t>21/38016</t>
  </si>
  <si>
    <t>22/38005</t>
  </si>
  <si>
    <t>20/38008</t>
  </si>
  <si>
    <t>17/38007</t>
  </si>
  <si>
    <t>187/38059</t>
  </si>
  <si>
    <r>
      <t>127/</t>
    </r>
    <r>
      <rPr>
        <sz val="11"/>
        <color rgb="FFFF0000"/>
        <rFont val="Calibri"/>
        <family val="2"/>
        <scheme val="minor"/>
      </rPr>
      <t>?</t>
    </r>
  </si>
  <si>
    <t>199/162790</t>
  </si>
  <si>
    <t>10285</t>
  </si>
  <si>
    <t>4/35165</t>
  </si>
  <si>
    <r>
      <t>167/</t>
    </r>
    <r>
      <rPr>
        <sz val="11"/>
        <color rgb="FFFF0000"/>
        <rFont val="Calibri"/>
        <family val="2"/>
        <scheme val="minor"/>
      </rPr>
      <t>?</t>
    </r>
  </si>
  <si>
    <t>150/33002</t>
  </si>
  <si>
    <r>
      <t>174/</t>
    </r>
    <r>
      <rPr>
        <sz val="11"/>
        <color rgb="FFFF0000"/>
        <rFont val="Calibri"/>
        <family val="2"/>
        <scheme val="minor"/>
      </rPr>
      <t>?</t>
    </r>
  </si>
  <si>
    <t>7/33008</t>
  </si>
  <si>
    <r>
      <t>184/</t>
    </r>
    <r>
      <rPr>
        <sz val="11"/>
        <color rgb="FFFF0000"/>
        <rFont val="Calibri"/>
        <family val="2"/>
        <scheme val="minor"/>
      </rPr>
      <t>?</t>
    </r>
  </si>
  <si>
    <t>218/81050</t>
  </si>
  <si>
    <t>219/83420</t>
  </si>
  <si>
    <t>210/81350</t>
  </si>
  <si>
    <t>35219</t>
  </si>
  <si>
    <t>2228</t>
  </si>
  <si>
    <t>2080</t>
  </si>
  <si>
    <t>35144</t>
  </si>
  <si>
    <t>149/35151</t>
  </si>
  <si>
    <t>90/35108</t>
  </si>
  <si>
    <t>90</t>
  </si>
  <si>
    <t>35159</t>
  </si>
  <si>
    <t>107/35191</t>
  </si>
  <si>
    <t>92/35199</t>
  </si>
  <si>
    <t>93/35189</t>
  </si>
  <si>
    <t>16/33015</t>
  </si>
  <si>
    <t>Väderöarna WR</t>
  </si>
  <si>
    <t>2541</t>
  </si>
  <si>
    <r>
      <rPr>
        <sz val="11"/>
        <color rgb="FFFF0000"/>
        <rFont val="Calibri"/>
        <family val="2"/>
        <scheme val="minor"/>
      </rPr>
      <t>101</t>
    </r>
    <r>
      <rPr>
        <sz val="11"/>
        <rFont val="Calibri"/>
        <family val="2"/>
        <scheme val="minor"/>
      </rPr>
      <t>/35172</t>
    </r>
  </si>
  <si>
    <t>106/35192</t>
  </si>
  <si>
    <t>35120</t>
  </si>
  <si>
    <t>84/35167</t>
  </si>
  <si>
    <r>
      <rPr>
        <sz val="11"/>
        <color rgb="FFFF0000"/>
        <rFont val="Calibri"/>
        <family val="2"/>
        <scheme val="minor"/>
      </rPr>
      <t>85</t>
    </r>
    <r>
      <rPr>
        <sz val="11"/>
        <rFont val="Calibri"/>
        <family val="2"/>
        <scheme val="minor"/>
      </rPr>
      <t>/35153</t>
    </r>
  </si>
  <si>
    <t>35153</t>
  </si>
  <si>
    <t>87/35126</t>
  </si>
  <si>
    <t>204/99280</t>
  </si>
  <si>
    <t>88/35208</t>
  </si>
  <si>
    <t>98/35140</t>
  </si>
  <si>
    <t>83/35135</t>
  </si>
  <si>
    <t>2069</t>
  </si>
  <si>
    <t>2110</t>
  </si>
  <si>
    <r>
      <t>142/</t>
    </r>
    <r>
      <rPr>
        <sz val="11"/>
        <color rgb="FFFF0000"/>
        <rFont val="Calibri"/>
        <family val="2"/>
        <scheme val="minor"/>
      </rPr>
      <t>?</t>
    </r>
  </si>
  <si>
    <r>
      <t>143/</t>
    </r>
    <r>
      <rPr>
        <sz val="11"/>
        <color rgb="FFFF0000"/>
        <rFont val="Calibri"/>
        <family val="2"/>
        <scheme val="minor"/>
      </rPr>
      <t>?</t>
    </r>
  </si>
  <si>
    <r>
      <t>144/</t>
    </r>
    <r>
      <rPr>
        <sz val="11"/>
        <color rgb="FFFF0000"/>
        <rFont val="Calibri"/>
        <family val="2"/>
        <scheme val="minor"/>
      </rPr>
      <t>?</t>
    </r>
  </si>
  <si>
    <t>222/163900</t>
  </si>
  <si>
    <r>
      <t>164/</t>
    </r>
    <r>
      <rPr>
        <sz val="11"/>
        <color rgb="FFFF0000"/>
        <rFont val="Calibri"/>
        <family val="2"/>
        <scheme val="minor"/>
      </rPr>
      <t>?</t>
    </r>
  </si>
  <si>
    <t>82/35173</t>
  </si>
  <si>
    <t>2061</t>
  </si>
  <si>
    <t>2111</t>
  </si>
  <si>
    <t>166/99450</t>
  </si>
  <si>
    <t>3/35132</t>
  </si>
  <si>
    <t>81/35114</t>
  </si>
  <si>
    <t>2321</t>
  </si>
  <si>
    <t>110/139120</t>
  </si>
  <si>
    <t>78/35169</t>
  </si>
  <si>
    <r>
      <t>182/</t>
    </r>
    <r>
      <rPr>
        <sz val="11"/>
        <color rgb="FFFF0000"/>
        <rFont val="Calibri"/>
        <family val="2"/>
        <scheme val="minor"/>
      </rPr>
      <t>?</t>
    </r>
  </si>
  <si>
    <t>200/98160</t>
  </si>
  <si>
    <t>73/35129</t>
  </si>
  <si>
    <t>74/35206</t>
  </si>
  <si>
    <t>Renöragrund</t>
  </si>
  <si>
    <t>75/35107</t>
  </si>
  <si>
    <r>
      <t>57/</t>
    </r>
    <r>
      <rPr>
        <sz val="11"/>
        <color rgb="FFFF0000"/>
        <rFont val="Calibri"/>
        <family val="2"/>
        <scheme val="minor"/>
      </rPr>
      <t>?</t>
    </r>
  </si>
  <si>
    <t>6/83450</t>
  </si>
  <si>
    <t>102/35207</t>
  </si>
  <si>
    <t>201/161710</t>
  </si>
  <si>
    <r>
      <t>10/</t>
    </r>
    <r>
      <rPr>
        <sz val="11"/>
        <color rgb="FFFF0000"/>
        <rFont val="Calibri"/>
        <family val="2"/>
        <scheme val="minor"/>
      </rPr>
      <t>?</t>
    </r>
  </si>
  <si>
    <t>11/33003</t>
  </si>
  <si>
    <t>135/33033</t>
  </si>
  <si>
    <t>27/35139</t>
  </si>
  <si>
    <t>96/35130</t>
  </si>
  <si>
    <t>97/35176</t>
  </si>
  <si>
    <t>Arko2</t>
  </si>
  <si>
    <r>
      <t>15/</t>
    </r>
    <r>
      <rPr>
        <sz val="11"/>
        <color rgb="FFFF0000"/>
        <rFont val="Calibri"/>
        <family val="2"/>
        <scheme val="minor"/>
      </rPr>
      <t>?</t>
    </r>
  </si>
  <si>
    <r>
      <t>25/</t>
    </r>
    <r>
      <rPr>
        <sz val="11"/>
        <color rgb="FFFF0000"/>
        <rFont val="Calibri"/>
        <family val="2"/>
        <scheme val="minor"/>
      </rPr>
      <t>?</t>
    </r>
  </si>
  <si>
    <t>Sjöfartsverket/Falkenbergs Terminal AB</t>
  </si>
  <si>
    <t>BARSEBÄCK</t>
  </si>
  <si>
    <t>SMHI/Ringhals AB</t>
  </si>
  <si>
    <t>189/35127</t>
  </si>
  <si>
    <t>116/?</t>
  </si>
  <si>
    <t>STATION_NAMN</t>
  </si>
  <si>
    <r>
      <t>180/</t>
    </r>
    <r>
      <rPr>
        <sz val="11"/>
        <color rgb="FFFF0000"/>
        <rFont val="Calibri"/>
        <family val="2"/>
        <scheme val="minor"/>
      </rPr>
      <t>?</t>
    </r>
  </si>
  <si>
    <r>
      <t>126/</t>
    </r>
    <r>
      <rPr>
        <sz val="11"/>
        <color rgb="FFFF0000"/>
        <rFont val="Calibri"/>
        <family val="2"/>
        <scheme val="minor"/>
      </rPr>
      <t>?</t>
    </r>
  </si>
  <si>
    <t>Göteborgs Stad/Sjöfartsverket</t>
  </si>
  <si>
    <r>
      <rPr>
        <sz val="11"/>
        <color rgb="FFFF0000"/>
        <rFont val="Calibri"/>
        <family val="2"/>
        <scheme val="minor"/>
      </rPr>
      <t>?</t>
    </r>
    <r>
      <rPr>
        <sz val="11"/>
        <rFont val="Calibri"/>
        <family val="2"/>
        <scheme val="minor"/>
      </rPr>
      <t>/33094</t>
    </r>
  </si>
  <si>
    <r>
      <rPr>
        <sz val="11"/>
        <color rgb="FFFF0000"/>
        <rFont val="Calibri"/>
        <family val="2"/>
        <scheme val="minor"/>
      </rPr>
      <t>?</t>
    </r>
    <r>
      <rPr>
        <sz val="11"/>
        <rFont val="Calibri"/>
        <family val="2"/>
        <scheme val="minor"/>
      </rPr>
      <t>/33099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</si>
</sst>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0"/>
    <numFmt numFmtId="165" formatCode="0.000"/>
    <numFmt numFmtId="166" formatCode="0.00000"/>
    <numFmt numFmtId="167" formatCode="0.0000"/>
    <numFmt numFmtId="168" formatCode="0.0"/>
    <numFmt numFmtId="169" formatCode="0.00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8"/>
      <color rgb="FF77777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/>
  </cellStyleXfs>
  <cellXfs count="20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>
      <alignment horizontal="left"/>
    </xf>
    <xf numFmtId="0" fontId="1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3" fillId="0" borderId="0" xfId="0" applyNumberFormat="1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left"/>
    </xf>
    <xf numFmtId="1" fontId="0" fillId="0" borderId="0" xfId="0" applyNumberFormat="1" applyFont="1" applyFill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164" fontId="3" fillId="0" borderId="0" xfId="2" applyNumberFormat="1" applyFont="1" applyFill="1" applyBorder="1" applyAlignment="1">
      <alignment horizontal="left"/>
    </xf>
    <xf numFmtId="0" fontId="2" fillId="0" borderId="0" xfId="1" applyFill="1" applyBorder="1" applyAlignment="1">
      <alignment horizontal="center"/>
    </xf>
    <xf numFmtId="1" fontId="3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164" fontId="0" fillId="0" borderId="0" xfId="0" applyNumberFormat="1" applyFont="1" applyFill="1" applyAlignment="1">
      <alignment horizontal="left" wrapText="1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1" fontId="3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 wrapText="1"/>
    </xf>
    <xf numFmtId="1" fontId="5" fillId="0" borderId="0" xfId="0" applyNumberFormat="1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11" fillId="0" borderId="0" xfId="1" applyFont="1" applyFill="1" applyBorder="1" applyAlignment="1">
      <alignment horizontal="center"/>
    </xf>
    <xf numFmtId="0" fontId="2" fillId="0" borderId="0" xfId="1" applyFill="1" applyAlignment="1">
      <alignment horizontal="left" wrapText="1"/>
    </xf>
    <xf numFmtId="0" fontId="2" fillId="0" borderId="0" xfId="1" applyFill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0" fillId="0" borderId="0" xfId="0" applyFill="1" applyAlignment="1">
      <alignment wrapText="1"/>
    </xf>
    <xf numFmtId="164" fontId="5" fillId="0" borderId="0" xfId="2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1" fontId="2" fillId="0" borderId="0" xfId="1" applyNumberFormat="1" applyFill="1" applyAlignment="1">
      <alignment horizontal="left" wrapText="1"/>
    </xf>
    <xf numFmtId="1" fontId="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13" fillId="0" borderId="0" xfId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 vertical="center"/>
    </xf>
    <xf numFmtId="165" fontId="0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>
      <alignment horizontal="center"/>
    </xf>
    <xf numFmtId="164" fontId="3" fillId="0" borderId="0" xfId="3" applyNumberFormat="1" applyFont="1" applyFill="1" applyBorder="1" applyAlignment="1">
      <alignment horizontal="left"/>
    </xf>
    <xf numFmtId="0" fontId="0" fillId="0" borderId="0" xfId="0" applyFill="1"/>
    <xf numFmtId="0" fontId="2" fillId="0" borderId="0" xfId="1" applyFill="1"/>
    <xf numFmtId="0" fontId="11" fillId="0" borderId="0" xfId="1" applyFont="1" applyFill="1" applyAlignment="1">
      <alignment horizontal="left"/>
    </xf>
    <xf numFmtId="49" fontId="12" fillId="0" borderId="0" xfId="1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3" fillId="2" borderId="0" xfId="2" applyNumberFormat="1" applyFont="1" applyFill="1" applyBorder="1" applyAlignment="1">
      <alignment horizontal="left"/>
    </xf>
    <xf numFmtId="164" fontId="0" fillId="2" borderId="0" xfId="0" applyNumberFormat="1" applyFont="1" applyFill="1" applyAlignment="1">
      <alignment horizontal="left"/>
    </xf>
    <xf numFmtId="164" fontId="0" fillId="2" borderId="0" xfId="0" applyNumberFormat="1" applyFont="1" applyFill="1" applyAlignment="1">
      <alignment horizontal="left" wrapText="1"/>
    </xf>
    <xf numFmtId="164" fontId="3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2" fillId="0" borderId="0" xfId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3" fillId="0" borderId="0" xfId="1" applyFont="1" applyFill="1" applyAlignment="1">
      <alignment horizontal="left"/>
    </xf>
    <xf numFmtId="0" fontId="12" fillId="0" borderId="0" xfId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Font="1" applyFill="1" applyAlignment="1">
      <alignment horizontal="center" wrapText="1"/>
    </xf>
    <xf numFmtId="0" fontId="15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" fontId="0" fillId="2" borderId="0" xfId="0" applyNumberFormat="1" applyFont="1" applyFill="1" applyBorder="1" applyAlignment="1">
      <alignment horizontal="left"/>
    </xf>
    <xf numFmtId="0" fontId="2" fillId="2" borderId="0" xfId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2" fillId="2" borderId="0" xfId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0" fillId="2" borderId="0" xfId="0" applyNumberFormat="1" applyFont="1" applyFill="1" applyAlignment="1">
      <alignment horizontal="left"/>
    </xf>
    <xf numFmtId="1" fontId="3" fillId="2" borderId="0" xfId="0" applyNumberFormat="1" applyFont="1" applyFill="1" applyBorder="1" applyAlignment="1">
      <alignment horizontal="left"/>
    </xf>
    <xf numFmtId="0" fontId="2" fillId="2" borderId="0" xfId="1" applyFill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0" fillId="2" borderId="0" xfId="0" applyFont="1" applyFill="1"/>
    <xf numFmtId="1" fontId="0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" fontId="2" fillId="2" borderId="0" xfId="1" applyNumberFormat="1" applyFill="1" applyAlignment="1">
      <alignment horizontal="left" wrapText="1"/>
    </xf>
    <xf numFmtId="49" fontId="3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wrapText="1" indent="1"/>
    </xf>
    <xf numFmtId="166" fontId="0" fillId="0" borderId="0" xfId="0" applyNumberFormat="1" applyFont="1" applyFill="1" applyAlignment="1">
      <alignment horizontal="left" wrapText="1"/>
    </xf>
    <xf numFmtId="164" fontId="0" fillId="2" borderId="0" xfId="2" applyNumberFormat="1" applyFont="1" applyFill="1" applyBorder="1" applyAlignment="1">
      <alignment horizontal="left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2" fontId="0" fillId="0" borderId="0" xfId="0" applyNumberFormat="1" applyFont="1" applyFill="1" applyAlignment="1">
      <alignment horizontal="left"/>
    </xf>
    <xf numFmtId="164" fontId="5" fillId="2" borderId="0" xfId="2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2" borderId="0" xfId="0" applyNumberFormat="1" applyFont="1" applyFill="1" applyBorder="1" applyAlignment="1">
      <alignment horizontal="left"/>
    </xf>
    <xf numFmtId="49" fontId="0" fillId="2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left" wrapText="1"/>
    </xf>
    <xf numFmtId="49" fontId="0" fillId="0" borderId="0" xfId="0" applyNumberFormat="1" applyFill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0" fillId="0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5" fillId="0" borderId="0" xfId="0" applyNumberFormat="1" applyFont="1" applyFill="1" applyAlignment="1">
      <alignment horizontal="left"/>
    </xf>
    <xf numFmtId="49" fontId="0" fillId="2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 wrapText="1"/>
    </xf>
    <xf numFmtId="167" fontId="0" fillId="0" borderId="0" xfId="0" applyNumberFormat="1" applyFont="1" applyFill="1" applyAlignment="1">
      <alignment horizontal="left" wrapText="1"/>
    </xf>
    <xf numFmtId="164" fontId="5" fillId="2" borderId="0" xfId="0" applyNumberFormat="1" applyFont="1" applyFill="1" applyBorder="1" applyAlignment="1">
      <alignment horizontal="left"/>
    </xf>
    <xf numFmtId="2" fontId="0" fillId="2" borderId="0" xfId="0" applyNumberFormat="1" applyFont="1" applyFill="1" applyBorder="1" applyAlignment="1">
      <alignment horizontal="left"/>
    </xf>
    <xf numFmtId="0" fontId="0" fillId="2" borderId="0" xfId="0" applyFont="1" applyFill="1" applyBorder="1"/>
    <xf numFmtId="0" fontId="2" fillId="2" borderId="0" xfId="1" applyFill="1" applyAlignment="1">
      <alignment horizontal="left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164" fontId="3" fillId="3" borderId="0" xfId="0" applyNumberFormat="1" applyFont="1" applyFill="1" applyAlignment="1">
      <alignment horizontal="left"/>
    </xf>
    <xf numFmtId="164" fontId="0" fillId="0" borderId="0" xfId="2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left"/>
    </xf>
    <xf numFmtId="0" fontId="2" fillId="2" borderId="0" xfId="1" applyFill="1"/>
    <xf numFmtId="0" fontId="16" fillId="0" borderId="0" xfId="0" applyFont="1" applyFill="1" applyAlignment="1">
      <alignment horizontal="left" vertical="center" wrapText="1" indent="1"/>
    </xf>
    <xf numFmtId="164" fontId="3" fillId="2" borderId="0" xfId="0" applyNumberFormat="1" applyFont="1" applyFill="1" applyAlignment="1">
      <alignment horizontal="left" wrapText="1"/>
    </xf>
    <xf numFmtId="49" fontId="3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/>
    <xf numFmtId="1" fontId="3" fillId="2" borderId="0" xfId="0" applyNumberFormat="1" applyFont="1" applyFill="1" applyAlignment="1">
      <alignment horizontal="left"/>
    </xf>
    <xf numFmtId="1" fontId="5" fillId="2" borderId="0" xfId="0" applyNumberFormat="1" applyFont="1" applyFill="1" applyAlignment="1">
      <alignment horizontal="left" wrapText="1"/>
    </xf>
    <xf numFmtId="1" fontId="3" fillId="2" borderId="0" xfId="0" applyNumberFormat="1" applyFont="1" applyFill="1" applyAlignment="1">
      <alignment horizontal="left" wrapText="1"/>
    </xf>
    <xf numFmtId="0" fontId="11" fillId="2" borderId="0" xfId="1" applyFont="1" applyFill="1" applyAlignment="1">
      <alignment horizontal="left"/>
    </xf>
    <xf numFmtId="0" fontId="11" fillId="0" borderId="0" xfId="1" applyFont="1" applyFill="1"/>
    <xf numFmtId="0" fontId="12" fillId="2" borderId="0" xfId="1" applyFont="1" applyFill="1" applyBorder="1" applyAlignment="1">
      <alignment horizontal="center"/>
    </xf>
    <xf numFmtId="49" fontId="12" fillId="2" borderId="0" xfId="1" applyNumberFormat="1" applyFont="1" applyFill="1" applyAlignment="1">
      <alignment horizontal="center"/>
    </xf>
    <xf numFmtId="1" fontId="11" fillId="2" borderId="0" xfId="1" applyNumberFormat="1" applyFont="1" applyFill="1" applyBorder="1" applyAlignment="1">
      <alignment horizontal="left"/>
    </xf>
    <xf numFmtId="0" fontId="15" fillId="2" borderId="0" xfId="1" applyFont="1" applyFill="1" applyBorder="1" applyAlignment="1">
      <alignment horizontal="center"/>
    </xf>
    <xf numFmtId="2" fontId="3" fillId="2" borderId="0" xfId="2" applyNumberFormat="1" applyFont="1" applyFill="1" applyBorder="1" applyAlignment="1">
      <alignment horizontal="left"/>
    </xf>
    <xf numFmtId="168" fontId="3" fillId="2" borderId="0" xfId="2" applyNumberFormat="1" applyFont="1" applyFill="1" applyBorder="1" applyAlignment="1">
      <alignment horizontal="left"/>
    </xf>
    <xf numFmtId="164" fontId="0" fillId="0" borderId="0" xfId="0" applyNumberFormat="1" applyFont="1" applyAlignment="1">
      <alignment horizontal="left"/>
    </xf>
    <xf numFmtId="164" fontId="5" fillId="0" borderId="0" xfId="0" applyNumberFormat="1" applyFont="1" applyFill="1" applyAlignment="1">
      <alignment horizontal="left" vertical="center" wrapText="1"/>
    </xf>
    <xf numFmtId="1" fontId="5" fillId="2" borderId="0" xfId="0" applyNumberFormat="1" applyFont="1" applyFill="1" applyBorder="1" applyAlignment="1">
      <alignment horizontal="left"/>
    </xf>
    <xf numFmtId="0" fontId="11" fillId="2" borderId="0" xfId="1" applyFont="1" applyFill="1" applyBorder="1" applyAlignment="1">
      <alignment horizontal="left"/>
    </xf>
    <xf numFmtId="0" fontId="0" fillId="2" borderId="0" xfId="0" applyFill="1"/>
    <xf numFmtId="167" fontId="5" fillId="2" borderId="0" xfId="2" applyNumberFormat="1" applyFont="1" applyFill="1" applyBorder="1" applyAlignment="1">
      <alignment horizontal="left"/>
    </xf>
    <xf numFmtId="167" fontId="3" fillId="2" borderId="0" xfId="0" applyNumberFormat="1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left"/>
    </xf>
    <xf numFmtId="2" fontId="3" fillId="2" borderId="0" xfId="0" applyNumberFormat="1" applyFont="1" applyFill="1" applyAlignment="1">
      <alignment horizontal="left"/>
    </xf>
    <xf numFmtId="2" fontId="5" fillId="2" borderId="0" xfId="0" applyNumberFormat="1" applyFont="1" applyFill="1" applyBorder="1" applyAlignment="1">
      <alignment horizontal="left"/>
    </xf>
    <xf numFmtId="2" fontId="5" fillId="2" borderId="0" xfId="0" applyNumberFormat="1" applyFont="1" applyFill="1" applyAlignment="1">
      <alignment horizontal="left"/>
    </xf>
    <xf numFmtId="169" fontId="5" fillId="2" borderId="0" xfId="0" applyNumberFormat="1" applyFont="1" applyFill="1" applyAlignment="1">
      <alignment horizontal="left"/>
    </xf>
    <xf numFmtId="2" fontId="5" fillId="2" borderId="0" xfId="2" applyNumberFormat="1" applyFont="1" applyFill="1" applyBorder="1" applyAlignment="1">
      <alignment horizontal="left"/>
    </xf>
    <xf numFmtId="167" fontId="5" fillId="0" borderId="0" xfId="0" applyNumberFormat="1" applyFont="1" applyFill="1" applyAlignment="1">
      <alignment horizontal="left" vertical="center" wrapText="1"/>
    </xf>
    <xf numFmtId="165" fontId="5" fillId="0" borderId="0" xfId="0" applyNumberFormat="1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2" fontId="5" fillId="0" borderId="0" xfId="2" applyNumberFormat="1" applyFont="1" applyFill="1" applyBorder="1" applyAlignment="1">
      <alignment horizontal="left"/>
    </xf>
    <xf numFmtId="167" fontId="5" fillId="0" borderId="0" xfId="0" applyNumberFormat="1" applyFont="1" applyFill="1" applyAlignment="1">
      <alignment horizontal="left"/>
    </xf>
    <xf numFmtId="167" fontId="5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Alignment="1">
      <alignment horizontal="left"/>
    </xf>
    <xf numFmtId="167" fontId="3" fillId="0" borderId="0" xfId="0" applyNumberFormat="1" applyFont="1" applyFill="1" applyAlignment="1">
      <alignment horizontal="left" wrapText="1"/>
    </xf>
    <xf numFmtId="167" fontId="0" fillId="0" borderId="0" xfId="0" applyNumberFormat="1" applyFont="1" applyFill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/>
    </xf>
  </cellXfs>
  <cellStyles count="4">
    <cellStyle name="Hyperlänk" xfId="1" builtinId="8"/>
    <cellStyle name="Normal" xfId="0" builtinId="0"/>
    <cellStyle name="Normal 2" xfId="3"/>
    <cellStyle name="Normal_BLA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430</xdr:row>
      <xdr:rowOff>0</xdr:rowOff>
    </xdr:from>
    <xdr:ext cx="184731" cy="264560"/>
    <xdr:sp macro="" textlink="">
      <xdr:nvSpPr>
        <xdr:cNvPr id="2" name="textruta 1"/>
        <xdr:cNvSpPr txBox="1"/>
      </xdr:nvSpPr>
      <xdr:spPr>
        <a:xfrm>
          <a:off x="35036760" y="5573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oneCellAnchor>
    <xdr:from>
      <xdr:col>16</xdr:col>
      <xdr:colOff>0</xdr:colOff>
      <xdr:row>434</xdr:row>
      <xdr:rowOff>137160</xdr:rowOff>
    </xdr:from>
    <xdr:ext cx="184731" cy="264560"/>
    <xdr:sp macro="" textlink="">
      <xdr:nvSpPr>
        <xdr:cNvPr id="3" name="textruta 2"/>
        <xdr:cNvSpPr txBox="1"/>
      </xdr:nvSpPr>
      <xdr:spPr>
        <a:xfrm>
          <a:off x="31613475" y="58049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oneCellAnchor>
    <xdr:from>
      <xdr:col>16</xdr:col>
      <xdr:colOff>0</xdr:colOff>
      <xdr:row>429</xdr:row>
      <xdr:rowOff>0</xdr:rowOff>
    </xdr:from>
    <xdr:ext cx="184731" cy="264560"/>
    <xdr:sp macro="" textlink="">
      <xdr:nvSpPr>
        <xdr:cNvPr id="4" name="textruta 3"/>
        <xdr:cNvSpPr txBox="1"/>
      </xdr:nvSpPr>
      <xdr:spPr>
        <a:xfrm>
          <a:off x="2170747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oneCellAnchor>
    <xdr:from>
      <xdr:col>16</xdr:col>
      <xdr:colOff>0</xdr:colOff>
      <xdr:row>431</xdr:row>
      <xdr:rowOff>0</xdr:rowOff>
    </xdr:from>
    <xdr:ext cx="184731" cy="264560"/>
    <xdr:sp macro="" textlink="">
      <xdr:nvSpPr>
        <xdr:cNvPr id="5" name="textruta 4"/>
        <xdr:cNvSpPr txBox="1"/>
      </xdr:nvSpPr>
      <xdr:spPr>
        <a:xfrm>
          <a:off x="22021800" y="782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smsl.org/data/obtaining/stations/2108.php" TargetMode="External"/><Relationship Id="rId671" Type="http://schemas.openxmlformats.org/officeDocument/2006/relationships/hyperlink" Target="https://www.marinetraffic.com/ka/ais/details/ships/shipid:159086/mmsi:266467000/imo:9323699/vessel:STENA_VINGA" TargetMode="External"/><Relationship Id="rId769" Type="http://schemas.openxmlformats.org/officeDocument/2006/relationships/hyperlink" Target="https://viva.sjofartsverket.se/station/54" TargetMode="External"/><Relationship Id="rId21" Type="http://schemas.openxmlformats.org/officeDocument/2006/relationships/hyperlink" Target="http://www.ioc-sealevelmonitoring.org/station.php?code=olan" TargetMode="External"/><Relationship Id="rId324" Type="http://schemas.openxmlformats.org/officeDocument/2006/relationships/hyperlink" Target="http://www.ioc-sealevelmonitoring.org/station.php?code=land" TargetMode="External"/><Relationship Id="rId531" Type="http://schemas.openxmlformats.org/officeDocument/2006/relationships/hyperlink" Target="https://viva.sjofartsverket.se/station/213" TargetMode="External"/><Relationship Id="rId629" Type="http://schemas.openxmlformats.org/officeDocument/2006/relationships/hyperlink" Target="https://viva.sjofartsverket.se/station/172" TargetMode="External"/><Relationship Id="rId170" Type="http://schemas.openxmlformats.org/officeDocument/2006/relationships/hyperlink" Target="http://www.ioc-sealevelmonitoring.org/station.php?code=goer" TargetMode="External"/><Relationship Id="rId836" Type="http://schemas.openxmlformats.org/officeDocument/2006/relationships/comments" Target="../comments1.xml"/><Relationship Id="rId268" Type="http://schemas.openxmlformats.org/officeDocument/2006/relationships/hyperlink" Target="http://www.ioc-sealevelmonitoring.org/station.php?code=bona" TargetMode="External"/><Relationship Id="rId475" Type="http://schemas.openxmlformats.org/officeDocument/2006/relationships/hyperlink" Target="https://viva.sjofartsverket.se/station/57" TargetMode="External"/><Relationship Id="rId682" Type="http://schemas.openxmlformats.org/officeDocument/2006/relationships/hyperlink" Target="https://www.marinetraffic.com/en/ais/details/ships/shipid:326534/mmsi:265859000/imo:8317954/vessel:STENA_NAUTICA" TargetMode="External"/><Relationship Id="rId32" Type="http://schemas.openxmlformats.org/officeDocument/2006/relationships/hyperlink" Target="http://www.ioc-sealevelmonitoring.org/station.php?code=simp" TargetMode="External"/><Relationship Id="rId128" Type="http://schemas.openxmlformats.org/officeDocument/2006/relationships/hyperlink" Target="https://www.psmsl.org/data/obtaining/stations/1211.php" TargetMode="External"/><Relationship Id="rId335" Type="http://schemas.openxmlformats.org/officeDocument/2006/relationships/hyperlink" Target="https://www.psmsl.org/data/obtaining/stations/2106.php" TargetMode="External"/><Relationship Id="rId542" Type="http://schemas.openxmlformats.org/officeDocument/2006/relationships/hyperlink" Target="https://viva.sjofartsverket.se/station/15" TargetMode="External"/><Relationship Id="rId181" Type="http://schemas.openxmlformats.org/officeDocument/2006/relationships/hyperlink" Target="http://www.ioc-sealevelmonitoring.org/station.php?code=holm" TargetMode="External"/><Relationship Id="rId402" Type="http://schemas.openxmlformats.org/officeDocument/2006/relationships/hyperlink" Target="http://www.ioc-sealevelmonitoring.org/station.php?code=nyna" TargetMode="External"/><Relationship Id="rId279" Type="http://schemas.openxmlformats.org/officeDocument/2006/relationships/hyperlink" Target="http://www.ioc-sealevelmonitoring.org/station.php?code=goer" TargetMode="External"/><Relationship Id="rId486" Type="http://schemas.openxmlformats.org/officeDocument/2006/relationships/hyperlink" Target="https://viva.sjofartsverket.se/station/81" TargetMode="External"/><Relationship Id="rId693" Type="http://schemas.openxmlformats.org/officeDocument/2006/relationships/hyperlink" Target="https://www.marinetraffic.com/en/ais/details/ships/shipid:187552/mmsi:235004539/imo:7901760/vessel:STENA_EUROPE" TargetMode="External"/><Relationship Id="rId707" Type="http://schemas.openxmlformats.org/officeDocument/2006/relationships/hyperlink" Target="https://www.marinetraffic.com/en/ais/details/ships/shipid:319813/mmsi:265068000/imo:7359668/vessel:FREJ" TargetMode="External"/><Relationship Id="rId43" Type="http://schemas.openxmlformats.org/officeDocument/2006/relationships/hyperlink" Target="http://www.ioc-sealevelmonitoring.org/station.php?code=ysta" TargetMode="External"/><Relationship Id="rId139" Type="http://schemas.openxmlformats.org/officeDocument/2006/relationships/hyperlink" Target="http://www.ioc-sealevelmonitoring.org/station.php?code=land" TargetMode="External"/><Relationship Id="rId346" Type="http://schemas.openxmlformats.org/officeDocument/2006/relationships/hyperlink" Target="https://www.psmsl.org/data/obtaining/stations/90.php" TargetMode="External"/><Relationship Id="rId553" Type="http://schemas.openxmlformats.org/officeDocument/2006/relationships/hyperlink" Target="https://viva.sjofartsverket.se/station/63" TargetMode="External"/><Relationship Id="rId760" Type="http://schemas.openxmlformats.org/officeDocument/2006/relationships/hyperlink" Target="https://viva.sjofartsverket.se/station/133" TargetMode="External"/><Relationship Id="rId192" Type="http://schemas.openxmlformats.org/officeDocument/2006/relationships/hyperlink" Target="http://www.ioc-sealevelmonitoring.org/station.php?code=goag" TargetMode="External"/><Relationship Id="rId206" Type="http://schemas.openxmlformats.org/officeDocument/2006/relationships/hyperlink" Target="http://www.ioc-sealevelmonitoring.org/station.php?code=land" TargetMode="External"/><Relationship Id="rId413" Type="http://schemas.openxmlformats.org/officeDocument/2006/relationships/hyperlink" Target="http://www.ioc-sealevelmonitoring.org/station.php?code=ring" TargetMode="External"/><Relationship Id="rId497" Type="http://schemas.openxmlformats.org/officeDocument/2006/relationships/hyperlink" Target="https://viva.sjofartsverket.se/station/98" TargetMode="External"/><Relationship Id="rId620" Type="http://schemas.openxmlformats.org/officeDocument/2006/relationships/hyperlink" Target="https://viva.sjofartsverket.se/station/102" TargetMode="External"/><Relationship Id="rId718" Type="http://schemas.openxmlformats.org/officeDocument/2006/relationships/hyperlink" Target="https://viva.sjofartsverket.se/station/14" TargetMode="External"/><Relationship Id="rId357" Type="http://schemas.openxmlformats.org/officeDocument/2006/relationships/hyperlink" Target="http://www.ioc-sealevelmonitoring.org/station.php?code=goag" TargetMode="External"/><Relationship Id="rId54" Type="http://schemas.openxmlformats.org/officeDocument/2006/relationships/hyperlink" Target="http://www.ioc-sealevelmonitoring.org/station.php?code=holm" TargetMode="External"/><Relationship Id="rId217" Type="http://schemas.openxmlformats.org/officeDocument/2006/relationships/hyperlink" Target="http://www.ioc-sealevelmonitoring.org/station.php?code=vin2" TargetMode="External"/><Relationship Id="rId564" Type="http://schemas.openxmlformats.org/officeDocument/2006/relationships/hyperlink" Target="https://viva.sjofartsverket.se/station/173" TargetMode="External"/><Relationship Id="rId771" Type="http://schemas.openxmlformats.org/officeDocument/2006/relationships/hyperlink" Target="https://viva.sjofartsverket.se/station/64" TargetMode="External"/><Relationship Id="rId259" Type="http://schemas.openxmlformats.org/officeDocument/2006/relationships/hyperlink" Target="http://www.ioc-sealevelmonitoring.org/station.php?code=simp" TargetMode="External"/><Relationship Id="rId424" Type="http://schemas.openxmlformats.org/officeDocument/2006/relationships/hyperlink" Target="http://www.ioc-sealevelmonitoring.org/station.php?code=vikew" TargetMode="External"/><Relationship Id="rId466" Type="http://schemas.openxmlformats.org/officeDocument/2006/relationships/hyperlink" Target="https://viva.sjofartsverket.se/station/156" TargetMode="External"/><Relationship Id="rId631" Type="http://schemas.openxmlformats.org/officeDocument/2006/relationships/hyperlink" Target="https://viva.sjofartsverket.se/station/165" TargetMode="External"/><Relationship Id="rId673" Type="http://schemas.openxmlformats.org/officeDocument/2006/relationships/hyperlink" Target="https://www.marinetraffic.com/en/ais/details/ships/shipid:230239/mmsi:244513000/imo:9469388/vessel:STENA_TRANSIT" TargetMode="External"/><Relationship Id="rId729" Type="http://schemas.openxmlformats.org/officeDocument/2006/relationships/hyperlink" Target="https://viva.sjofartsverket.se/station/98" TargetMode="External"/><Relationship Id="rId23" Type="http://schemas.openxmlformats.org/officeDocument/2006/relationships/hyperlink" Target="http://www.ioc-sealevelmonitoring.org/station.php?code=oxel" TargetMode="External"/><Relationship Id="rId119" Type="http://schemas.openxmlformats.org/officeDocument/2006/relationships/hyperlink" Target="https://www.psmsl.org/data/obtaining/stations/2108.php" TargetMode="External"/><Relationship Id="rId270" Type="http://schemas.openxmlformats.org/officeDocument/2006/relationships/hyperlink" Target="https://www.psmsl.org/data/obtaining/stations/2359.php" TargetMode="External"/><Relationship Id="rId326" Type="http://schemas.openxmlformats.org/officeDocument/2006/relationships/hyperlink" Target="http://www.ioc-sealevelmonitoring.org/station.php?code=lund" TargetMode="External"/><Relationship Id="rId533" Type="http://schemas.openxmlformats.org/officeDocument/2006/relationships/hyperlink" Target="https://viva.sjofartsverket.se/station/211" TargetMode="External"/><Relationship Id="rId65" Type="http://schemas.openxmlformats.org/officeDocument/2006/relationships/hyperlink" Target="https://www.psmsl.org/data/obtaining/stations/2109.php" TargetMode="External"/><Relationship Id="rId130" Type="http://schemas.openxmlformats.org/officeDocument/2006/relationships/hyperlink" Target="https://www.psmsl.org/data/obtaining/stations/1211.php" TargetMode="External"/><Relationship Id="rId368" Type="http://schemas.openxmlformats.org/officeDocument/2006/relationships/hyperlink" Target="http://www.ioc-sealevelmonitoring.org/station.php?code=halm" TargetMode="External"/><Relationship Id="rId575" Type="http://schemas.openxmlformats.org/officeDocument/2006/relationships/hyperlink" Target="https://viva.sjofartsverket.se/station/68" TargetMode="External"/><Relationship Id="rId740" Type="http://schemas.openxmlformats.org/officeDocument/2006/relationships/hyperlink" Target="https://viva.sjofartsverket.se/station/162" TargetMode="External"/><Relationship Id="rId782" Type="http://schemas.openxmlformats.org/officeDocument/2006/relationships/hyperlink" Target="https://viva.sjofartsverket.se/station/99" TargetMode="External"/><Relationship Id="rId172" Type="http://schemas.openxmlformats.org/officeDocument/2006/relationships/hyperlink" Target="http://www.ioc-sealevelmonitoring.org/station.php?code=gokr" TargetMode="External"/><Relationship Id="rId228" Type="http://schemas.openxmlformats.org/officeDocument/2006/relationships/hyperlink" Target="http://www.ioc-sealevelmonitoring.org/station.php?code=udde" TargetMode="External"/><Relationship Id="rId435" Type="http://schemas.openxmlformats.org/officeDocument/2006/relationships/hyperlink" Target="http://www.ioc-sealevelmonitoring.org/station.php?code=varb" TargetMode="External"/><Relationship Id="rId477" Type="http://schemas.openxmlformats.org/officeDocument/2006/relationships/hyperlink" Target="https://viva.sjofartsverket.se/station/74" TargetMode="External"/><Relationship Id="rId600" Type="http://schemas.openxmlformats.org/officeDocument/2006/relationships/hyperlink" Target="https://viva.sjofartsverket.se/station/86" TargetMode="External"/><Relationship Id="rId642" Type="http://schemas.openxmlformats.org/officeDocument/2006/relationships/hyperlink" Target="https://viva.sjofartsverket.se/station/21" TargetMode="External"/><Relationship Id="rId684" Type="http://schemas.openxmlformats.org/officeDocument/2006/relationships/hyperlink" Target="https://www.marinetraffic.com/en/ais/details/ships/shipid:193822/mmsi:219029263/imo:9329849/vessel:STENA_SCANDICA" TargetMode="External"/><Relationship Id="rId281" Type="http://schemas.openxmlformats.org/officeDocument/2006/relationships/hyperlink" Target="https://www.psmsl.org/data/obtaining/stations/2133.php" TargetMode="External"/><Relationship Id="rId337" Type="http://schemas.openxmlformats.org/officeDocument/2006/relationships/hyperlink" Target="http://www.ioc-sealevelmonitoring.org/station.php?code=rata" TargetMode="External"/><Relationship Id="rId502" Type="http://schemas.openxmlformats.org/officeDocument/2006/relationships/hyperlink" Target="https://viva.sjofartsverket.se/station/106" TargetMode="External"/><Relationship Id="rId34" Type="http://schemas.openxmlformats.org/officeDocument/2006/relationships/hyperlink" Target="http://www.ioc-sealevelmonitoring.org/station.php?code=stens" TargetMode="External"/><Relationship Id="rId76" Type="http://schemas.openxmlformats.org/officeDocument/2006/relationships/hyperlink" Target="https://www.psmsl.org/data/obtaining/stations/1236.php" TargetMode="External"/><Relationship Id="rId141" Type="http://schemas.openxmlformats.org/officeDocument/2006/relationships/hyperlink" Target="http://www.ioc-sealevelmonitoring.org/station.php?code=land" TargetMode="External"/><Relationship Id="rId379" Type="http://schemas.openxmlformats.org/officeDocument/2006/relationships/hyperlink" Target="https://www.psmsl.org/data/obtaining/stations/330.php" TargetMode="External"/><Relationship Id="rId544" Type="http://schemas.openxmlformats.org/officeDocument/2006/relationships/hyperlink" Target="https://viva.sjofartsverket.se/station/188" TargetMode="External"/><Relationship Id="rId586" Type="http://schemas.openxmlformats.org/officeDocument/2006/relationships/hyperlink" Target="https://viva.sjofartsverket.se/station/113" TargetMode="External"/><Relationship Id="rId751" Type="http://schemas.openxmlformats.org/officeDocument/2006/relationships/hyperlink" Target="https://viva.sjofartsverket.se/station/73" TargetMode="External"/><Relationship Id="rId793" Type="http://schemas.openxmlformats.org/officeDocument/2006/relationships/hyperlink" Target="https://viva.sjofartsverket.se/station/45" TargetMode="External"/><Relationship Id="rId807" Type="http://schemas.openxmlformats.org/officeDocument/2006/relationships/hyperlink" Target="https://viva.sjofartsverket.se/station/11" TargetMode="External"/><Relationship Id="rId7" Type="http://schemas.openxmlformats.org/officeDocument/2006/relationships/hyperlink" Target="http://www.ioc-sealevelmonitoring.org/station.php?code=gokr" TargetMode="External"/><Relationship Id="rId183" Type="http://schemas.openxmlformats.org/officeDocument/2006/relationships/hyperlink" Target="http://www.ioc-sealevelmonitoring.org/station.php?code=jute" TargetMode="External"/><Relationship Id="rId239" Type="http://schemas.openxmlformats.org/officeDocument/2006/relationships/hyperlink" Target="http://www.ioc-sealevelmonitoring.org/station.php?code=spik" TargetMode="External"/><Relationship Id="rId390" Type="http://schemas.openxmlformats.org/officeDocument/2006/relationships/hyperlink" Target="https://www.psmsl.org/data/obtaining/stations/323.php" TargetMode="External"/><Relationship Id="rId404" Type="http://schemas.openxmlformats.org/officeDocument/2006/relationships/hyperlink" Target="http://www.ioc-sealevelmonitoring.org/station.php?code=olan" TargetMode="External"/><Relationship Id="rId446" Type="http://schemas.openxmlformats.org/officeDocument/2006/relationships/hyperlink" Target="http://www.ioc-sealevelmonitoring.org/station.php?code=spik" TargetMode="External"/><Relationship Id="rId611" Type="http://schemas.openxmlformats.org/officeDocument/2006/relationships/hyperlink" Target="https://viva.sjofartsverket.se/station/177" TargetMode="External"/><Relationship Id="rId653" Type="http://schemas.openxmlformats.org/officeDocument/2006/relationships/hyperlink" Target="https://viva.sjofartsverket.se/station/210" TargetMode="External"/><Relationship Id="rId250" Type="http://schemas.openxmlformats.org/officeDocument/2006/relationships/hyperlink" Target="http://www.ioc-sealevelmonitoring.org/station.php?code=oska" TargetMode="External"/><Relationship Id="rId292" Type="http://schemas.openxmlformats.org/officeDocument/2006/relationships/hyperlink" Target="http://www.ioc-sealevelmonitoring.org/station.php?code=simr" TargetMode="External"/><Relationship Id="rId306" Type="http://schemas.openxmlformats.org/officeDocument/2006/relationships/hyperlink" Target="http://www.ioc-sealevelmonitoring.org/station.php?code=udde" TargetMode="External"/><Relationship Id="rId488" Type="http://schemas.openxmlformats.org/officeDocument/2006/relationships/hyperlink" Target="https://viva.sjofartsverket.se/station/166" TargetMode="External"/><Relationship Id="rId695" Type="http://schemas.openxmlformats.org/officeDocument/2006/relationships/hyperlink" Target="https://www.marinetraffic.com/en/ais/details/ships/shipid:196434/mmsi:235080274/imo:9419175/vessel:STENA_BRITANNICA" TargetMode="External"/><Relationship Id="rId709" Type="http://schemas.openxmlformats.org/officeDocument/2006/relationships/hyperlink" Target="https://www.marinetraffic.com/en/ais/details/ships/shipid:319810/mmsi:265067000/imo:7347627/vessel:ATLE" TargetMode="External"/><Relationship Id="rId45" Type="http://schemas.openxmlformats.org/officeDocument/2006/relationships/hyperlink" Target="http://www.ioc-sealevelmonitoring.org/station.php?code=ljus" TargetMode="External"/><Relationship Id="rId87" Type="http://schemas.openxmlformats.org/officeDocument/2006/relationships/hyperlink" Target="https://www.psmsl.org/data/obtaining/stations/2113.php" TargetMode="External"/><Relationship Id="rId110" Type="http://schemas.openxmlformats.org/officeDocument/2006/relationships/hyperlink" Target="https://www.psmsl.org/data/obtaining/stations/2107.php" TargetMode="External"/><Relationship Id="rId348" Type="http://schemas.openxmlformats.org/officeDocument/2006/relationships/hyperlink" Target="http://www.ioc-sealevelmonitoring.org/station.php?code=brof" TargetMode="External"/><Relationship Id="rId513" Type="http://schemas.openxmlformats.org/officeDocument/2006/relationships/hyperlink" Target="https://viva.sjofartsverket.se/station/218" TargetMode="External"/><Relationship Id="rId555" Type="http://schemas.openxmlformats.org/officeDocument/2006/relationships/hyperlink" Target="https://viva.sjofartsverket.se/station/2" TargetMode="External"/><Relationship Id="rId597" Type="http://schemas.openxmlformats.org/officeDocument/2006/relationships/hyperlink" Target="https://viva.sjofartsverket.se/station/140" TargetMode="External"/><Relationship Id="rId720" Type="http://schemas.openxmlformats.org/officeDocument/2006/relationships/hyperlink" Target="https://viva.sjofartsverket.se/station/88" TargetMode="External"/><Relationship Id="rId762" Type="http://schemas.openxmlformats.org/officeDocument/2006/relationships/hyperlink" Target="https://viva.sjofartsverket.se/station/100" TargetMode="External"/><Relationship Id="rId818" Type="http://schemas.openxmlformats.org/officeDocument/2006/relationships/hyperlink" Target="https://viva.sjofartsverket.se/station/27" TargetMode="External"/><Relationship Id="rId152" Type="http://schemas.openxmlformats.org/officeDocument/2006/relationships/hyperlink" Target="https://www.psmsl.org/data/obtaining/stations/78.php" TargetMode="External"/><Relationship Id="rId194" Type="http://schemas.openxmlformats.org/officeDocument/2006/relationships/hyperlink" Target="http://www.ioc-sealevelmonitoring.org/station.php?code=olan" TargetMode="External"/><Relationship Id="rId208" Type="http://schemas.openxmlformats.org/officeDocument/2006/relationships/hyperlink" Target="http://www.ioc-sealevelmonitoring.org/station.php?code=kung" TargetMode="External"/><Relationship Id="rId415" Type="http://schemas.openxmlformats.org/officeDocument/2006/relationships/hyperlink" Target="http://www.ioc-sealevelmonitoring.org/station.php?code=simr" TargetMode="External"/><Relationship Id="rId457" Type="http://schemas.openxmlformats.org/officeDocument/2006/relationships/hyperlink" Target="https://viva.sjofartsverket.se/station/25" TargetMode="External"/><Relationship Id="rId622" Type="http://schemas.openxmlformats.org/officeDocument/2006/relationships/hyperlink" Target="https://viva.sjofartsverket.se/station/148" TargetMode="External"/><Relationship Id="rId261" Type="http://schemas.openxmlformats.org/officeDocument/2006/relationships/hyperlink" Target="http://www.ioc-sealevelmonitoring.org/station.php?code=goti" TargetMode="External"/><Relationship Id="rId499" Type="http://schemas.openxmlformats.org/officeDocument/2006/relationships/hyperlink" Target="https://viva.sjofartsverket.se/station/88" TargetMode="External"/><Relationship Id="rId664" Type="http://schemas.openxmlformats.org/officeDocument/2006/relationships/hyperlink" Target="https://viva.sjofartsverket.se/station/205" TargetMode="External"/><Relationship Id="rId14" Type="http://schemas.openxmlformats.org/officeDocument/2006/relationships/hyperlink" Target="http://www.ioc-sealevelmonitoring.org/station.php?code=bona" TargetMode="External"/><Relationship Id="rId56" Type="http://schemas.openxmlformats.org/officeDocument/2006/relationships/hyperlink" Target="https://www.psmsl.org/data/obtaining/stations/2111.php" TargetMode="External"/><Relationship Id="rId317" Type="http://schemas.openxmlformats.org/officeDocument/2006/relationships/hyperlink" Target="http://www.ioc-sealevelmonitoring.org/station.php?code=klag" TargetMode="External"/><Relationship Id="rId359" Type="http://schemas.openxmlformats.org/officeDocument/2006/relationships/hyperlink" Target="http://www.ioc-sealevelmonitoring.org/station.php?code=goag" TargetMode="External"/><Relationship Id="rId524" Type="http://schemas.openxmlformats.org/officeDocument/2006/relationships/hyperlink" Target="https://viva.sjofartsverket.se/station/147" TargetMode="External"/><Relationship Id="rId566" Type="http://schemas.openxmlformats.org/officeDocument/2006/relationships/hyperlink" Target="https://viva.sjofartsverket.se/station/71" TargetMode="External"/><Relationship Id="rId731" Type="http://schemas.openxmlformats.org/officeDocument/2006/relationships/hyperlink" Target="https://viva.sjofartsverket.se/station/144" TargetMode="External"/><Relationship Id="rId773" Type="http://schemas.openxmlformats.org/officeDocument/2006/relationships/hyperlink" Target="https://viva.sjofartsverket.se/station/63" TargetMode="External"/><Relationship Id="rId98" Type="http://schemas.openxmlformats.org/officeDocument/2006/relationships/hyperlink" Target="https://www.psmsl.org/data/obtaining/stations/72.php" TargetMode="External"/><Relationship Id="rId121" Type="http://schemas.openxmlformats.org/officeDocument/2006/relationships/hyperlink" Target="http://www.ioc-sealevelmonitoring.org/station.php?code=skagk" TargetMode="External"/><Relationship Id="rId163" Type="http://schemas.openxmlformats.org/officeDocument/2006/relationships/hyperlink" Target="http://www.ioc-sealevelmonitoring.org/station.php?code=falk" TargetMode="External"/><Relationship Id="rId219" Type="http://schemas.openxmlformats.org/officeDocument/2006/relationships/hyperlink" Target="http://www.ioc-sealevelmonitoring.org/station.php?code=vikew" TargetMode="External"/><Relationship Id="rId370" Type="http://schemas.openxmlformats.org/officeDocument/2006/relationships/hyperlink" Target="http://www.ioc-sealevelmonitoring.org/station.php?code=holm" TargetMode="External"/><Relationship Id="rId426" Type="http://schemas.openxmlformats.org/officeDocument/2006/relationships/hyperlink" Target="http://www.ioc-sealevelmonitoring.org/station.php?code=visb" TargetMode="External"/><Relationship Id="rId633" Type="http://schemas.openxmlformats.org/officeDocument/2006/relationships/hyperlink" Target="https://viva.sjofartsverket.se/station/216" TargetMode="External"/><Relationship Id="rId829" Type="http://schemas.openxmlformats.org/officeDocument/2006/relationships/hyperlink" Target="https://viva.sjofartsverket.se/station/90" TargetMode="External"/><Relationship Id="rId230" Type="http://schemas.openxmlformats.org/officeDocument/2006/relationships/hyperlink" Target="http://www.ioc-sealevelmonitoring.org/station.php?code=tang" TargetMode="External"/><Relationship Id="rId468" Type="http://schemas.openxmlformats.org/officeDocument/2006/relationships/hyperlink" Target="https://viva.sjofartsverket.se/station/10" TargetMode="External"/><Relationship Id="rId675" Type="http://schemas.openxmlformats.org/officeDocument/2006/relationships/hyperlink" Target="https://www.marinetraffic.com/en/ais/details/ships/shipid:198407/mmsi:235089436/imo:9198953/vessel:STENA_SUPERFAST_VIII" TargetMode="External"/><Relationship Id="rId25" Type="http://schemas.openxmlformats.org/officeDocument/2006/relationships/hyperlink" Target="http://www.ioc-sealevelmonitoring.org/station.php?code=lund" TargetMode="External"/><Relationship Id="rId67" Type="http://schemas.openxmlformats.org/officeDocument/2006/relationships/hyperlink" Target="https://www.psmsl.org/data/obtaining/stations/97.php" TargetMode="External"/><Relationship Id="rId272" Type="http://schemas.openxmlformats.org/officeDocument/2006/relationships/hyperlink" Target="http://www.ioc-sealevelmonitoring.org/station.php?code=e4bs" TargetMode="External"/><Relationship Id="rId328" Type="http://schemas.openxmlformats.org/officeDocument/2006/relationships/hyperlink" Target="http://www.ioc-sealevelmonitoring.org/station.php?code=mard" TargetMode="External"/><Relationship Id="rId535" Type="http://schemas.openxmlformats.org/officeDocument/2006/relationships/hyperlink" Target="https://viva.sjofartsverket.se/station/158" TargetMode="External"/><Relationship Id="rId577" Type="http://schemas.openxmlformats.org/officeDocument/2006/relationships/hyperlink" Target="https://viva.sjofartsverket.se/station/100" TargetMode="External"/><Relationship Id="rId700" Type="http://schemas.openxmlformats.org/officeDocument/2006/relationships/hyperlink" Target="https://viva.sjofartsverket.se/station/187" TargetMode="External"/><Relationship Id="rId742" Type="http://schemas.openxmlformats.org/officeDocument/2006/relationships/hyperlink" Target="https://viva.sjofartsverket.se/station/110" TargetMode="External"/><Relationship Id="rId132" Type="http://schemas.openxmlformats.org/officeDocument/2006/relationships/hyperlink" Target="http://www.ioc-sealevelmonitoring.org/station.php?code=stro" TargetMode="External"/><Relationship Id="rId174" Type="http://schemas.openxmlformats.org/officeDocument/2006/relationships/hyperlink" Target="http://www.ioc-sealevelmonitoring.org/station.php?code=halm" TargetMode="External"/><Relationship Id="rId381" Type="http://schemas.openxmlformats.org/officeDocument/2006/relationships/hyperlink" Target="https://www.psmsl.org/data/obtaining/stations/70.php" TargetMode="External"/><Relationship Id="rId602" Type="http://schemas.openxmlformats.org/officeDocument/2006/relationships/hyperlink" Target="https://viva.sjofartsverket.se/station/36" TargetMode="External"/><Relationship Id="rId784" Type="http://schemas.openxmlformats.org/officeDocument/2006/relationships/hyperlink" Target="https://viva.sjofartsverket.se/station/161" TargetMode="External"/><Relationship Id="rId241" Type="http://schemas.openxmlformats.org/officeDocument/2006/relationships/hyperlink" Target="http://www.ioc-sealevelmonitoring.org/station.php?code=smog" TargetMode="External"/><Relationship Id="rId437" Type="http://schemas.openxmlformats.org/officeDocument/2006/relationships/hyperlink" Target="http://www.ioc-sealevelmonitoring.org/station.php?code=udde" TargetMode="External"/><Relationship Id="rId479" Type="http://schemas.openxmlformats.org/officeDocument/2006/relationships/hyperlink" Target="https://viva.sjofartsverket.se/station/200" TargetMode="External"/><Relationship Id="rId644" Type="http://schemas.openxmlformats.org/officeDocument/2006/relationships/hyperlink" Target="https://viva.sjofartsverket.se/station/95" TargetMode="External"/><Relationship Id="rId686" Type="http://schemas.openxmlformats.org/officeDocument/2006/relationships/hyperlink" Target="https://www.marinetraffic.com/en/ais/details/ships/shipid:320298/mmsi:265410000/imo:9125944/vessel:STENA_JUTLANDICA" TargetMode="External"/><Relationship Id="rId36" Type="http://schemas.openxmlformats.org/officeDocument/2006/relationships/hyperlink" Target="http://www.ioc-sealevelmonitoring.org/station.php?code=spik" TargetMode="External"/><Relationship Id="rId283" Type="http://schemas.openxmlformats.org/officeDocument/2006/relationships/hyperlink" Target="http://www.ioc-sealevelmonitoring.org/station.php?code=goti" TargetMode="External"/><Relationship Id="rId339" Type="http://schemas.openxmlformats.org/officeDocument/2006/relationships/hyperlink" Target="http://www.ioc-sealevelmonitoring.org/station.php?code=ysta" TargetMode="External"/><Relationship Id="rId490" Type="http://schemas.openxmlformats.org/officeDocument/2006/relationships/hyperlink" Target="https://viva.sjofartsverket.se/station/109" TargetMode="External"/><Relationship Id="rId504" Type="http://schemas.openxmlformats.org/officeDocument/2006/relationships/hyperlink" Target="https://viva.sjofartsverket.se/station/16" TargetMode="External"/><Relationship Id="rId546" Type="http://schemas.openxmlformats.org/officeDocument/2006/relationships/hyperlink" Target="https://viva.sjofartsverket.se/station/187" TargetMode="External"/><Relationship Id="rId711" Type="http://schemas.openxmlformats.org/officeDocument/2006/relationships/hyperlink" Target="https://viva.sjofartsverket.se/station/96" TargetMode="External"/><Relationship Id="rId753" Type="http://schemas.openxmlformats.org/officeDocument/2006/relationships/hyperlink" Target="https://viva.sjofartsverket.se/station/156" TargetMode="External"/><Relationship Id="rId78" Type="http://schemas.openxmlformats.org/officeDocument/2006/relationships/hyperlink" Target="https://www.psmsl.org/data/obtaining/stations/2101.php" TargetMode="External"/><Relationship Id="rId101" Type="http://schemas.openxmlformats.org/officeDocument/2006/relationships/hyperlink" Target="https://www.psmsl.org/data/obtaining/stations/2110.php" TargetMode="External"/><Relationship Id="rId143" Type="http://schemas.openxmlformats.org/officeDocument/2006/relationships/hyperlink" Target="https://www.psmsl.org/data/obtaining/stations/69.php" TargetMode="External"/><Relationship Id="rId185" Type="http://schemas.openxmlformats.org/officeDocument/2006/relationships/hyperlink" Target="http://www.ioc-sealevelmonitoring.org/station.php?code=kaka" TargetMode="External"/><Relationship Id="rId350" Type="http://schemas.openxmlformats.org/officeDocument/2006/relationships/hyperlink" Target="https://www.psmsl.org/data/obtaining/stations/122.php" TargetMode="External"/><Relationship Id="rId406" Type="http://schemas.openxmlformats.org/officeDocument/2006/relationships/hyperlink" Target="http://www.ioc-sealevelmonitoring.org/station.php?code=rata" TargetMode="External"/><Relationship Id="rId588" Type="http://schemas.openxmlformats.org/officeDocument/2006/relationships/hyperlink" Target="https://viva.sjofartsverket.se/station/45" TargetMode="External"/><Relationship Id="rId795" Type="http://schemas.openxmlformats.org/officeDocument/2006/relationships/hyperlink" Target="https://viva.sjofartsverket.se/station/113" TargetMode="External"/><Relationship Id="rId809" Type="http://schemas.openxmlformats.org/officeDocument/2006/relationships/hyperlink" Target="https://viva.sjofartsverket.se/station/36" TargetMode="External"/><Relationship Id="rId9" Type="http://schemas.openxmlformats.org/officeDocument/2006/relationships/hyperlink" Target="http://www.ioc-sealevelmonitoring.org/station.php?code=goto" TargetMode="External"/><Relationship Id="rId210" Type="http://schemas.openxmlformats.org/officeDocument/2006/relationships/hyperlink" Target="http://www.ioc-sealevelmonitoring.org/station.php?code=kungr" TargetMode="External"/><Relationship Id="rId392" Type="http://schemas.openxmlformats.org/officeDocument/2006/relationships/hyperlink" Target="http://www.ioc-sealevelmonitoring.org/station.php?code=maha" TargetMode="External"/><Relationship Id="rId448" Type="http://schemas.openxmlformats.org/officeDocument/2006/relationships/hyperlink" Target="https://www.psmsl.org/data/obtaining/stations/179.php" TargetMode="External"/><Relationship Id="rId613" Type="http://schemas.openxmlformats.org/officeDocument/2006/relationships/hyperlink" Target="https://viva.sjofartsverket.se/station/149" TargetMode="External"/><Relationship Id="rId655" Type="http://schemas.openxmlformats.org/officeDocument/2006/relationships/hyperlink" Target="https://viva.sjofartsverket.se/station/204" TargetMode="External"/><Relationship Id="rId697" Type="http://schemas.openxmlformats.org/officeDocument/2006/relationships/hyperlink" Target="http://www.marinetraffic.com/en/ais/details/ships/shipid:373778/mmsi:311058100/vessel:STENA%20SPIRIT" TargetMode="External"/><Relationship Id="rId820" Type="http://schemas.openxmlformats.org/officeDocument/2006/relationships/hyperlink" Target="https://viva.sjofartsverket.se/station/169" TargetMode="External"/><Relationship Id="rId252" Type="http://schemas.openxmlformats.org/officeDocument/2006/relationships/hyperlink" Target="http://www.ioc-sealevelmonitoring.org/station.php?code=onsa" TargetMode="External"/><Relationship Id="rId294" Type="http://schemas.openxmlformats.org/officeDocument/2006/relationships/hyperlink" Target="http://www.ioc-sealevelmonitoring.org/station.php?code=skagk" TargetMode="External"/><Relationship Id="rId308" Type="http://schemas.openxmlformats.org/officeDocument/2006/relationships/hyperlink" Target="http://www.ioc-sealevelmonitoring.org/station.php?code=varb" TargetMode="External"/><Relationship Id="rId515" Type="http://schemas.openxmlformats.org/officeDocument/2006/relationships/hyperlink" Target="https://viva.sjofartsverket.se/station/165" TargetMode="External"/><Relationship Id="rId722" Type="http://schemas.openxmlformats.org/officeDocument/2006/relationships/hyperlink" Target="https://viva.sjofartsverket.se/station/124" TargetMode="External"/><Relationship Id="rId47" Type="http://schemas.openxmlformats.org/officeDocument/2006/relationships/hyperlink" Target="http://www.ioc-sealevelmonitoring.org/station.php?code=maha" TargetMode="External"/><Relationship Id="rId89" Type="http://schemas.openxmlformats.org/officeDocument/2006/relationships/hyperlink" Target="https://www.psmsl.org/data/obtaining/stations/2113.php" TargetMode="External"/><Relationship Id="rId112" Type="http://schemas.openxmlformats.org/officeDocument/2006/relationships/hyperlink" Target="https://www.psmsl.org/data/obtaining/stations/2107.php" TargetMode="External"/><Relationship Id="rId154" Type="http://schemas.openxmlformats.org/officeDocument/2006/relationships/hyperlink" Target="http://www.ioc-sealevelmonitoring.org/station.php?code=arko" TargetMode="External"/><Relationship Id="rId361" Type="http://schemas.openxmlformats.org/officeDocument/2006/relationships/hyperlink" Target="http://www.ioc-sealevelmonitoring.org/station.php?code=gokr" TargetMode="External"/><Relationship Id="rId557" Type="http://schemas.openxmlformats.org/officeDocument/2006/relationships/hyperlink" Target="https://viva.sjofartsverket.se/station/53" TargetMode="External"/><Relationship Id="rId599" Type="http://schemas.openxmlformats.org/officeDocument/2006/relationships/hyperlink" Target="https://viva.sjofartsverket.se/station/111" TargetMode="External"/><Relationship Id="rId764" Type="http://schemas.openxmlformats.org/officeDocument/2006/relationships/hyperlink" Target="https://viva.sjofartsverket.se/station/70" TargetMode="External"/><Relationship Id="rId196" Type="http://schemas.openxmlformats.org/officeDocument/2006/relationships/hyperlink" Target="http://www.ioc-sealevelmonitoring.org/station.php?code=nyna" TargetMode="External"/><Relationship Id="rId417" Type="http://schemas.openxmlformats.org/officeDocument/2006/relationships/hyperlink" Target="https://www.psmsl.org/data/obtaining/stations/2102.php" TargetMode="External"/><Relationship Id="rId459" Type="http://schemas.openxmlformats.org/officeDocument/2006/relationships/hyperlink" Target="https://viva.sjofartsverket.se/station/15" TargetMode="External"/><Relationship Id="rId624" Type="http://schemas.openxmlformats.org/officeDocument/2006/relationships/hyperlink" Target="https://viva.sjofartsverket.se/station/220" TargetMode="External"/><Relationship Id="rId666" Type="http://schemas.openxmlformats.org/officeDocument/2006/relationships/hyperlink" Target="https://viva.sjofartsverket.se/station/223" TargetMode="External"/><Relationship Id="rId831" Type="http://schemas.openxmlformats.org/officeDocument/2006/relationships/hyperlink" Target="https://viva.sjofartsverket.se/station/90" TargetMode="External"/><Relationship Id="rId16" Type="http://schemas.openxmlformats.org/officeDocument/2006/relationships/hyperlink" Target="http://www.ioc-sealevelmonitoring.org/station.php?code=drag" TargetMode="External"/><Relationship Id="rId221" Type="http://schemas.openxmlformats.org/officeDocument/2006/relationships/hyperlink" Target="http://www.ioc-sealevelmonitoring.org/station.php?code=vvik" TargetMode="External"/><Relationship Id="rId263" Type="http://schemas.openxmlformats.org/officeDocument/2006/relationships/hyperlink" Target="https://viva.sjofartsverket.se/station/207" TargetMode="External"/><Relationship Id="rId319" Type="http://schemas.openxmlformats.org/officeDocument/2006/relationships/hyperlink" Target="http://www.ioc-sealevelmonitoring.org/station.php?code=kung" TargetMode="External"/><Relationship Id="rId470" Type="http://schemas.openxmlformats.org/officeDocument/2006/relationships/hyperlink" Target="https://viva.sjofartsverket.se/station/102" TargetMode="External"/><Relationship Id="rId526" Type="http://schemas.openxmlformats.org/officeDocument/2006/relationships/hyperlink" Target="https://viva.sjofartsverket.se/station/150" TargetMode="External"/><Relationship Id="rId58" Type="http://schemas.openxmlformats.org/officeDocument/2006/relationships/hyperlink" Target="https://www.psmsl.org/data/obtaining/stations/2359.php" TargetMode="External"/><Relationship Id="rId123" Type="http://schemas.openxmlformats.org/officeDocument/2006/relationships/hyperlink" Target="http://www.ioc-sealevelmonitoring.org/station.php?code=skan" TargetMode="External"/><Relationship Id="rId330" Type="http://schemas.openxmlformats.org/officeDocument/2006/relationships/hyperlink" Target="https://www.psmsl.org/data/obtaining/stations/69.php" TargetMode="External"/><Relationship Id="rId568" Type="http://schemas.openxmlformats.org/officeDocument/2006/relationships/hyperlink" Target="https://viva.sjofartsverket.se/station/133" TargetMode="External"/><Relationship Id="rId733" Type="http://schemas.openxmlformats.org/officeDocument/2006/relationships/hyperlink" Target="https://viva.sjofartsverket.se/station/142" TargetMode="External"/><Relationship Id="rId775" Type="http://schemas.openxmlformats.org/officeDocument/2006/relationships/hyperlink" Target="https://viva.sjofartsverket.se/station/53" TargetMode="External"/><Relationship Id="rId165" Type="http://schemas.openxmlformats.org/officeDocument/2006/relationships/hyperlink" Target="http://www.ioc-sealevelmonitoring.org/station.php?code=fors" TargetMode="External"/><Relationship Id="rId372" Type="http://schemas.openxmlformats.org/officeDocument/2006/relationships/hyperlink" Target="http://www.ioc-sealevelmonitoring.org/station.php?code=kaka" TargetMode="External"/><Relationship Id="rId428" Type="http://schemas.openxmlformats.org/officeDocument/2006/relationships/hyperlink" Target="http://www.ioc-sealevelmonitoring.org/station.php?code=vin2" TargetMode="External"/><Relationship Id="rId635" Type="http://schemas.openxmlformats.org/officeDocument/2006/relationships/hyperlink" Target="https://viva.sjofartsverket.se/station/134" TargetMode="External"/><Relationship Id="rId677" Type="http://schemas.openxmlformats.org/officeDocument/2006/relationships/hyperlink" Target="https://www.marinetraffic.com/en/ais/details/ships/shipid:263465/mmsi:232018002/imo:9121625/vessel:STENA_SCOTIA" TargetMode="External"/><Relationship Id="rId800" Type="http://schemas.openxmlformats.org/officeDocument/2006/relationships/hyperlink" Target="https://viva.sjofartsverket.se/station/158" TargetMode="External"/><Relationship Id="rId232" Type="http://schemas.openxmlformats.org/officeDocument/2006/relationships/hyperlink" Target="http://www.ioc-sealevelmonitoring.org/station.php?code=stro" TargetMode="External"/><Relationship Id="rId274" Type="http://schemas.openxmlformats.org/officeDocument/2006/relationships/hyperlink" Target="http://www.ioc-sealevelmonitoring.org/station.php?code=fors" TargetMode="External"/><Relationship Id="rId481" Type="http://schemas.openxmlformats.org/officeDocument/2006/relationships/hyperlink" Target="https://viva.sjofartsverket.se/station/78" TargetMode="External"/><Relationship Id="rId702" Type="http://schemas.openxmlformats.org/officeDocument/2006/relationships/hyperlink" Target="https://www.smhi.se/kunskapsbanken/oceanografi/havspegel-skagsudde-1.13893" TargetMode="External"/><Relationship Id="rId27" Type="http://schemas.openxmlformats.org/officeDocument/2006/relationships/hyperlink" Target="http://www.ioc-sealevelmonitoring.org/station.php?code=kungr" TargetMode="External"/><Relationship Id="rId69" Type="http://schemas.openxmlformats.org/officeDocument/2006/relationships/hyperlink" Target="https://www.psmsl.org/data/obtaining/stations/2103.php" TargetMode="External"/><Relationship Id="rId134" Type="http://schemas.openxmlformats.org/officeDocument/2006/relationships/hyperlink" Target="https://www.psmsl.org/data/obtaining/stations/31.php" TargetMode="External"/><Relationship Id="rId537" Type="http://schemas.openxmlformats.org/officeDocument/2006/relationships/hyperlink" Target="https://viva.sjofartsverket.se/station/205" TargetMode="External"/><Relationship Id="rId579" Type="http://schemas.openxmlformats.org/officeDocument/2006/relationships/hyperlink" Target="https://viva.sjofartsverket.se/station/226" TargetMode="External"/><Relationship Id="rId744" Type="http://schemas.openxmlformats.org/officeDocument/2006/relationships/hyperlink" Target="https://viva.sjofartsverket.se/station/157" TargetMode="External"/><Relationship Id="rId786" Type="http://schemas.openxmlformats.org/officeDocument/2006/relationships/hyperlink" Target="https://viva.sjofartsverket.se/station/58" TargetMode="External"/><Relationship Id="rId80" Type="http://schemas.openxmlformats.org/officeDocument/2006/relationships/hyperlink" Target="https://www.psmsl.org/data/obtaining/stations/2101.php" TargetMode="External"/><Relationship Id="rId176" Type="http://schemas.openxmlformats.org/officeDocument/2006/relationships/hyperlink" Target="http://www.ioc-sealevelmonitoring.org/station.php?code=halm" TargetMode="External"/><Relationship Id="rId341" Type="http://schemas.openxmlformats.org/officeDocument/2006/relationships/hyperlink" Target="http://www.ioc-sealevelmonitoring.org/station.php?code=arko" TargetMode="External"/><Relationship Id="rId383" Type="http://schemas.openxmlformats.org/officeDocument/2006/relationships/hyperlink" Target="https://www.psmsl.org/data/obtaining/stations/2113.php" TargetMode="External"/><Relationship Id="rId439" Type="http://schemas.openxmlformats.org/officeDocument/2006/relationships/hyperlink" Target="http://www.ioc-sealevelmonitoring.org/station.php?code=tang" TargetMode="External"/><Relationship Id="rId590" Type="http://schemas.openxmlformats.org/officeDocument/2006/relationships/hyperlink" Target="https://viva.sjofartsverket.se/station/193" TargetMode="External"/><Relationship Id="rId604" Type="http://schemas.openxmlformats.org/officeDocument/2006/relationships/hyperlink" Target="https://viva.sjofartsverket.se/station/5" TargetMode="External"/><Relationship Id="rId646" Type="http://schemas.openxmlformats.org/officeDocument/2006/relationships/hyperlink" Target="https://viva.sjofartsverket.se/station/15" TargetMode="External"/><Relationship Id="rId811" Type="http://schemas.openxmlformats.org/officeDocument/2006/relationships/hyperlink" Target="https://viva.sjofartsverket.se/station/35" TargetMode="External"/><Relationship Id="rId201" Type="http://schemas.openxmlformats.org/officeDocument/2006/relationships/hyperlink" Target="http://www.ioc-sealevelmonitoring.org/station.php?code=lund" TargetMode="External"/><Relationship Id="rId243" Type="http://schemas.openxmlformats.org/officeDocument/2006/relationships/hyperlink" Target="http://www.ioc-sealevelmonitoring.org/station.php?code=ring" TargetMode="External"/><Relationship Id="rId285" Type="http://schemas.openxmlformats.org/officeDocument/2006/relationships/hyperlink" Target="http://www.ioc-sealevelmonitoring.org/station.php?code=hels" TargetMode="External"/><Relationship Id="rId450" Type="http://schemas.openxmlformats.org/officeDocument/2006/relationships/hyperlink" Target="http://www.ioc-sealevelmonitoring.org/station.php?code=goer" TargetMode="External"/><Relationship Id="rId506" Type="http://schemas.openxmlformats.org/officeDocument/2006/relationships/hyperlink" Target="https://viva.sjofartsverket.se/station/92" TargetMode="External"/><Relationship Id="rId688" Type="http://schemas.openxmlformats.org/officeDocument/2006/relationships/hyperlink" Target="https://www.marinetraffic.com/da/ais/details/ships/shipid:201138/mmsi:235102224/imo:9121637/vessel:STENA_HIBERNIA" TargetMode="External"/><Relationship Id="rId38" Type="http://schemas.openxmlformats.org/officeDocument/2006/relationships/hyperlink" Target="http://www.ioc-sealevelmonitoring.org/station.php?code=udde" TargetMode="External"/><Relationship Id="rId103" Type="http://schemas.openxmlformats.org/officeDocument/2006/relationships/hyperlink" Target="https://www.psmsl.org/data/obtaining/stations/2360.php" TargetMode="External"/><Relationship Id="rId310" Type="http://schemas.openxmlformats.org/officeDocument/2006/relationships/hyperlink" Target="http://www.ioc-sealevelmonitoring.org/station.php?code=vikew" TargetMode="External"/><Relationship Id="rId492" Type="http://schemas.openxmlformats.org/officeDocument/2006/relationships/hyperlink" Target="https://viva.sjofartsverket.se/station/164" TargetMode="External"/><Relationship Id="rId548" Type="http://schemas.openxmlformats.org/officeDocument/2006/relationships/hyperlink" Target="https://viva.sjofartsverket.se/station/22" TargetMode="External"/><Relationship Id="rId713" Type="http://schemas.openxmlformats.org/officeDocument/2006/relationships/hyperlink" Target="https://viva.sjofartsverket.se/station/92" TargetMode="External"/><Relationship Id="rId755" Type="http://schemas.openxmlformats.org/officeDocument/2006/relationships/hyperlink" Target="https://viva.sjofartsverket.se/station/181" TargetMode="External"/><Relationship Id="rId797" Type="http://schemas.openxmlformats.org/officeDocument/2006/relationships/hyperlink" Target="https://viva.sjofartsverket.se/station/41" TargetMode="External"/><Relationship Id="rId91" Type="http://schemas.openxmlformats.org/officeDocument/2006/relationships/hyperlink" Target="https://www.psmsl.org/data/obtaining/stations/2132.php" TargetMode="External"/><Relationship Id="rId145" Type="http://schemas.openxmlformats.org/officeDocument/2006/relationships/hyperlink" Target="http://www.ioc-sealevelmonitoring.org/station.php?code=stens" TargetMode="External"/><Relationship Id="rId187" Type="http://schemas.openxmlformats.org/officeDocument/2006/relationships/hyperlink" Target="http://www.ioc-sealevelmonitoring.org/station.php?code=kalit" TargetMode="External"/><Relationship Id="rId352" Type="http://schemas.openxmlformats.org/officeDocument/2006/relationships/hyperlink" Target="http://www.ioc-sealevelmonitoring.org/station.php?code=falk" TargetMode="External"/><Relationship Id="rId394" Type="http://schemas.openxmlformats.org/officeDocument/2006/relationships/hyperlink" Target="https://www.psmsl.org/data/obtaining/stations/2104.php" TargetMode="External"/><Relationship Id="rId408" Type="http://schemas.openxmlformats.org/officeDocument/2006/relationships/hyperlink" Target="http://www.ioc-sealevelmonitoring.org/station.php?code=oxel" TargetMode="External"/><Relationship Id="rId615" Type="http://schemas.openxmlformats.org/officeDocument/2006/relationships/hyperlink" Target="https://viva.sjofartsverket.se/station/222" TargetMode="External"/><Relationship Id="rId822" Type="http://schemas.openxmlformats.org/officeDocument/2006/relationships/hyperlink" Target="https://viva.sjofartsverket.se/station/114" TargetMode="External"/><Relationship Id="rId212" Type="http://schemas.openxmlformats.org/officeDocument/2006/relationships/hyperlink" Target="http://www.ioc-sealevelmonitoring.org/station.php?code=klag" TargetMode="External"/><Relationship Id="rId254" Type="http://schemas.openxmlformats.org/officeDocument/2006/relationships/hyperlink" Target="http://www.ioc-sealevelmonitoring.org/station.php?code=ysta" TargetMode="External"/><Relationship Id="rId657" Type="http://schemas.openxmlformats.org/officeDocument/2006/relationships/hyperlink" Target="https://viva.sjofartsverket.se/station/200" TargetMode="External"/><Relationship Id="rId699" Type="http://schemas.openxmlformats.org/officeDocument/2006/relationships/hyperlink" Target="http://www.marinetraffic.com/en/ais/details/ships/266301000" TargetMode="External"/><Relationship Id="rId49" Type="http://schemas.openxmlformats.org/officeDocument/2006/relationships/hyperlink" Target="http://www.ioc-sealevelmonitoring.org/station.php?code=karl" TargetMode="External"/><Relationship Id="rId114" Type="http://schemas.openxmlformats.org/officeDocument/2006/relationships/hyperlink" Target="https://www.psmsl.org/data/obtaining/stations/88.php" TargetMode="External"/><Relationship Id="rId296" Type="http://schemas.openxmlformats.org/officeDocument/2006/relationships/hyperlink" Target="http://www.ioc-sealevelmonitoring.org/station.php?code=skan" TargetMode="External"/><Relationship Id="rId461" Type="http://schemas.openxmlformats.org/officeDocument/2006/relationships/hyperlink" Target="https://viva.sjofartsverket.se/station/96" TargetMode="External"/><Relationship Id="rId517" Type="http://schemas.openxmlformats.org/officeDocument/2006/relationships/hyperlink" Target="https://viva.sjofartsverket.se/station/172" TargetMode="External"/><Relationship Id="rId559" Type="http://schemas.openxmlformats.org/officeDocument/2006/relationships/hyperlink" Target="https://viva.sjofartsverket.se/station/104" TargetMode="External"/><Relationship Id="rId724" Type="http://schemas.openxmlformats.org/officeDocument/2006/relationships/hyperlink" Target="https://viva.sjofartsverket.se/station/3" TargetMode="External"/><Relationship Id="rId766" Type="http://schemas.openxmlformats.org/officeDocument/2006/relationships/hyperlink" Target="https://viva.sjofartsverket.se/station/68" TargetMode="External"/><Relationship Id="rId60" Type="http://schemas.openxmlformats.org/officeDocument/2006/relationships/hyperlink" Target="https://www.psmsl.org/data/obtaining/stations/2359.php" TargetMode="External"/><Relationship Id="rId156" Type="http://schemas.openxmlformats.org/officeDocument/2006/relationships/hyperlink" Target="http://www.ioc-sealevelmonitoring.org/station.php?code=bars" TargetMode="External"/><Relationship Id="rId198" Type="http://schemas.openxmlformats.org/officeDocument/2006/relationships/hyperlink" Target="http://www.ioc-sealevelmonitoring.org/station.php?code=mard" TargetMode="External"/><Relationship Id="rId321" Type="http://schemas.openxmlformats.org/officeDocument/2006/relationships/hyperlink" Target="http://www.ioc-sealevelmonitoring.org/station.php?code=kungr" TargetMode="External"/><Relationship Id="rId363" Type="http://schemas.openxmlformats.org/officeDocument/2006/relationships/hyperlink" Target="https://www.psmsl.org/data/obtaining/stations/77.php" TargetMode="External"/><Relationship Id="rId419" Type="http://schemas.openxmlformats.org/officeDocument/2006/relationships/hyperlink" Target="http://www.ioc-sealevelmonitoring.org/station.php?code=skagk" TargetMode="External"/><Relationship Id="rId570" Type="http://schemas.openxmlformats.org/officeDocument/2006/relationships/hyperlink" Target="https://viva.sjofartsverket.se/station/70" TargetMode="External"/><Relationship Id="rId626" Type="http://schemas.openxmlformats.org/officeDocument/2006/relationships/hyperlink" Target="https://viva.sjofartsverket.se/station/218" TargetMode="External"/><Relationship Id="rId223" Type="http://schemas.openxmlformats.org/officeDocument/2006/relationships/hyperlink" Target="http://www.ioc-sealevelmonitoring.org/station.php?code=vvik" TargetMode="External"/><Relationship Id="rId430" Type="http://schemas.openxmlformats.org/officeDocument/2006/relationships/hyperlink" Target="http://www.ioc-sealevelmonitoring.org/station.php?code=ysta" TargetMode="External"/><Relationship Id="rId668" Type="http://schemas.openxmlformats.org/officeDocument/2006/relationships/hyperlink" Target="https://www.marinetraffic.com/sv/ais/details/ships/shipid:5870235/mmsi:265009000/imo:9829332/vessel:SVEA" TargetMode="External"/><Relationship Id="rId833" Type="http://schemas.openxmlformats.org/officeDocument/2006/relationships/printerSettings" Target="../printerSettings/printerSettings1.bin"/><Relationship Id="rId18" Type="http://schemas.openxmlformats.org/officeDocument/2006/relationships/hyperlink" Target="http://www.ioc-sealevelmonitoring.org/station.php?code=falk" TargetMode="External"/><Relationship Id="rId265" Type="http://schemas.openxmlformats.org/officeDocument/2006/relationships/hyperlink" Target="http://www.ioc-sealevelmonitoring.org/station.php?code=ring" TargetMode="External"/><Relationship Id="rId472" Type="http://schemas.openxmlformats.org/officeDocument/2006/relationships/hyperlink" Target="https://viva.sjofartsverket.se/station/199" TargetMode="External"/><Relationship Id="rId528" Type="http://schemas.openxmlformats.org/officeDocument/2006/relationships/hyperlink" Target="https://viva.sjofartsverket.se/station/137" TargetMode="External"/><Relationship Id="rId735" Type="http://schemas.openxmlformats.org/officeDocument/2006/relationships/hyperlink" Target="https://viva.sjofartsverket.se/station/109" TargetMode="External"/><Relationship Id="rId125" Type="http://schemas.openxmlformats.org/officeDocument/2006/relationships/hyperlink" Target="https://www.psmsl.org/data/obtaining/stations/179.php" TargetMode="External"/><Relationship Id="rId167" Type="http://schemas.openxmlformats.org/officeDocument/2006/relationships/hyperlink" Target="http://www.ioc-sealevelmonitoring.org/station.php?code=furu" TargetMode="External"/><Relationship Id="rId332" Type="http://schemas.openxmlformats.org/officeDocument/2006/relationships/hyperlink" Target="http://www.ioc-sealevelmonitoring.org/station.php?code=onsa" TargetMode="External"/><Relationship Id="rId374" Type="http://schemas.openxmlformats.org/officeDocument/2006/relationships/hyperlink" Target="https://www.psmsl.org/data/obtaining/stations/2101.php" TargetMode="External"/><Relationship Id="rId581" Type="http://schemas.openxmlformats.org/officeDocument/2006/relationships/hyperlink" Target="https://viva.sjofartsverket.se/station/60" TargetMode="External"/><Relationship Id="rId777" Type="http://schemas.openxmlformats.org/officeDocument/2006/relationships/hyperlink" Target="https://viva.sjofartsverket.se/station/125" TargetMode="External"/><Relationship Id="rId71" Type="http://schemas.openxmlformats.org/officeDocument/2006/relationships/hyperlink" Target="https://www.psmsl.org/data/obtaining/stations/2103.php" TargetMode="External"/><Relationship Id="rId234" Type="http://schemas.openxmlformats.org/officeDocument/2006/relationships/hyperlink" Target="http://www.ioc-sealevelmonitoring.org/station.php?code=sthm" TargetMode="External"/><Relationship Id="rId637" Type="http://schemas.openxmlformats.org/officeDocument/2006/relationships/hyperlink" Target="https://viva.sjofartsverket.se/station/167" TargetMode="External"/><Relationship Id="rId679" Type="http://schemas.openxmlformats.org/officeDocument/2006/relationships/hyperlink" Target="https://www.marinetraffic.com/en/ais/details/ships/shipid:129823/mmsi:-8705383/imo:8705383/vessel:SASSNITZ" TargetMode="External"/><Relationship Id="rId802" Type="http://schemas.openxmlformats.org/officeDocument/2006/relationships/hyperlink" Target="https://viva.sjofartsverket.se/station/22" TargetMode="External"/><Relationship Id="rId2" Type="http://schemas.openxmlformats.org/officeDocument/2006/relationships/hyperlink" Target="http://www.ioc-sealevelmonitoring.org/station.php?code=furu" TargetMode="External"/><Relationship Id="rId29" Type="http://schemas.openxmlformats.org/officeDocument/2006/relationships/hyperlink" Target="http://www.ioc-sealevelmonitoring.org/station.php?code=fors" TargetMode="External"/><Relationship Id="rId276" Type="http://schemas.openxmlformats.org/officeDocument/2006/relationships/hyperlink" Target="http://www.ioc-sealevelmonitoring.org/station.php?code=furu" TargetMode="External"/><Relationship Id="rId441" Type="http://schemas.openxmlformats.org/officeDocument/2006/relationships/hyperlink" Target="http://www.ioc-sealevelmonitoring.org/station.php?code=sthm" TargetMode="External"/><Relationship Id="rId483" Type="http://schemas.openxmlformats.org/officeDocument/2006/relationships/hyperlink" Target="https://viva.sjofartsverket.se/station/110" TargetMode="External"/><Relationship Id="rId539" Type="http://schemas.openxmlformats.org/officeDocument/2006/relationships/hyperlink" Target="https://viva.sjofartsverket.se/station/203" TargetMode="External"/><Relationship Id="rId690" Type="http://schemas.openxmlformats.org/officeDocument/2006/relationships/hyperlink" Target="https://www.marinetraffic.com/en/ais/details/ships/shipid:320455/mmsi:265463000/imo:9133915/vessel:SKANE" TargetMode="External"/><Relationship Id="rId704" Type="http://schemas.openxmlformats.org/officeDocument/2006/relationships/hyperlink" Target="https://viva.sjofartsverket.se/station/60" TargetMode="External"/><Relationship Id="rId746" Type="http://schemas.openxmlformats.org/officeDocument/2006/relationships/hyperlink" Target="https://viva.sjofartsverket.se/station/127" TargetMode="External"/><Relationship Id="rId40" Type="http://schemas.openxmlformats.org/officeDocument/2006/relationships/hyperlink" Target="http://www.ioc-sealevelmonitoring.org/station.php?code=vikew" TargetMode="External"/><Relationship Id="rId136" Type="http://schemas.openxmlformats.org/officeDocument/2006/relationships/hyperlink" Target="http://www.ioc-sealevelmonitoring.org/station.php?code=skagk" TargetMode="External"/><Relationship Id="rId178" Type="http://schemas.openxmlformats.org/officeDocument/2006/relationships/hyperlink" Target="http://www.ioc-sealevelmonitoring.org/station.php?code=hels" TargetMode="External"/><Relationship Id="rId301" Type="http://schemas.openxmlformats.org/officeDocument/2006/relationships/hyperlink" Target="http://www.ioc-sealevelmonitoring.org/station.php?code=spik" TargetMode="External"/><Relationship Id="rId343" Type="http://schemas.openxmlformats.org/officeDocument/2006/relationships/hyperlink" Target="https://www.psmsl.org/data/obtaining/stations/97.php" TargetMode="External"/><Relationship Id="rId550" Type="http://schemas.openxmlformats.org/officeDocument/2006/relationships/hyperlink" Target="https://viva.sjofartsverket.se/station/23" TargetMode="External"/><Relationship Id="rId788" Type="http://schemas.openxmlformats.org/officeDocument/2006/relationships/hyperlink" Target="https://viva.sjofartsverket.se/station/4" TargetMode="External"/><Relationship Id="rId82" Type="http://schemas.openxmlformats.org/officeDocument/2006/relationships/hyperlink" Target="https://www.psmsl.org/data/obtaining/stations/330.php" TargetMode="External"/><Relationship Id="rId203" Type="http://schemas.openxmlformats.org/officeDocument/2006/relationships/hyperlink" Target="http://www.ioc-sealevelmonitoring.org/station.php?code=ljus" TargetMode="External"/><Relationship Id="rId385" Type="http://schemas.openxmlformats.org/officeDocument/2006/relationships/hyperlink" Target="https://www.psmsl.org/data/obtaining/stations/68.php" TargetMode="External"/><Relationship Id="rId592" Type="http://schemas.openxmlformats.org/officeDocument/2006/relationships/hyperlink" Target="https://viva.sjofartsverket.se/station/169" TargetMode="External"/><Relationship Id="rId606" Type="http://schemas.openxmlformats.org/officeDocument/2006/relationships/hyperlink" Target="https://viva.sjofartsverket.se/station/30" TargetMode="External"/><Relationship Id="rId648" Type="http://schemas.openxmlformats.org/officeDocument/2006/relationships/hyperlink" Target="https://viva.sjofartsverket.se/station/32" TargetMode="External"/><Relationship Id="rId813" Type="http://schemas.openxmlformats.org/officeDocument/2006/relationships/hyperlink" Target="https://viva.sjofartsverket.se/station/5" TargetMode="External"/><Relationship Id="rId245" Type="http://schemas.openxmlformats.org/officeDocument/2006/relationships/hyperlink" Target="http://www.ioc-sealevelmonitoring.org/station.php?code=rata" TargetMode="External"/><Relationship Id="rId287" Type="http://schemas.openxmlformats.org/officeDocument/2006/relationships/hyperlink" Target="http://www.ioc-sealevelmonitoring.org/station.php?code=jute" TargetMode="External"/><Relationship Id="rId410" Type="http://schemas.openxmlformats.org/officeDocument/2006/relationships/hyperlink" Target="https://www.psmsl.org/data/obtaining/stations/2106.php" TargetMode="External"/><Relationship Id="rId452" Type="http://schemas.openxmlformats.org/officeDocument/2006/relationships/hyperlink" Target="https://viva.sjofartsverket.se/station/101" TargetMode="External"/><Relationship Id="rId494" Type="http://schemas.openxmlformats.org/officeDocument/2006/relationships/hyperlink" Target="https://viva.sjofartsverket.se/station/151" TargetMode="External"/><Relationship Id="rId508" Type="http://schemas.openxmlformats.org/officeDocument/2006/relationships/hyperlink" Target="https://viva.sjofartsverket.se/station/94" TargetMode="External"/><Relationship Id="rId715" Type="http://schemas.openxmlformats.org/officeDocument/2006/relationships/hyperlink" Target="https://viva.sjofartsverket.se/station/188" TargetMode="External"/><Relationship Id="rId105" Type="http://schemas.openxmlformats.org/officeDocument/2006/relationships/hyperlink" Target="https://www.psmsl.org/data/obtaining/stations/2360.php" TargetMode="External"/><Relationship Id="rId147" Type="http://schemas.openxmlformats.org/officeDocument/2006/relationships/hyperlink" Target="https://www.psmsl.org/data/obtaining/stations/75.php" TargetMode="External"/><Relationship Id="rId312" Type="http://schemas.openxmlformats.org/officeDocument/2006/relationships/hyperlink" Target="http://www.ioc-sealevelmonitoring.org/station.php?code=vin2" TargetMode="External"/><Relationship Id="rId354" Type="http://schemas.openxmlformats.org/officeDocument/2006/relationships/hyperlink" Target="https://www.psmsl.org/data/obtaining/stations/2103.php" TargetMode="External"/><Relationship Id="rId757" Type="http://schemas.openxmlformats.org/officeDocument/2006/relationships/hyperlink" Target="https://viva.sjofartsverket.se/station/71" TargetMode="External"/><Relationship Id="rId799" Type="http://schemas.openxmlformats.org/officeDocument/2006/relationships/hyperlink" Target="https://viva.sjofartsverket.se/station/153" TargetMode="External"/><Relationship Id="rId51" Type="http://schemas.openxmlformats.org/officeDocument/2006/relationships/hyperlink" Target="http://www.ioc-sealevelmonitoring.org/station.php?code=kalm" TargetMode="External"/><Relationship Id="rId93" Type="http://schemas.openxmlformats.org/officeDocument/2006/relationships/hyperlink" Target="https://www.psmsl.org/data/obtaining/stations/2132.php" TargetMode="External"/><Relationship Id="rId189" Type="http://schemas.openxmlformats.org/officeDocument/2006/relationships/hyperlink" Target="http://www.ioc-sealevelmonitoring.org/station.php?code=kalm" TargetMode="External"/><Relationship Id="rId396" Type="http://schemas.openxmlformats.org/officeDocument/2006/relationships/hyperlink" Target="https://www.psmsl.org/data/obtaining/stations/75.php" TargetMode="External"/><Relationship Id="rId561" Type="http://schemas.openxmlformats.org/officeDocument/2006/relationships/hyperlink" Target="https://viva.sjofartsverket.se/station/126" TargetMode="External"/><Relationship Id="rId617" Type="http://schemas.openxmlformats.org/officeDocument/2006/relationships/hyperlink" Target="https://viva.sjofartsverket.se/station/166" TargetMode="External"/><Relationship Id="rId659" Type="http://schemas.openxmlformats.org/officeDocument/2006/relationships/hyperlink" Target="https://viva.sjofartsverket.se/station/217" TargetMode="External"/><Relationship Id="rId824" Type="http://schemas.openxmlformats.org/officeDocument/2006/relationships/hyperlink" Target="https://viva.sjofartsverket.se/station/20" TargetMode="External"/><Relationship Id="rId214" Type="http://schemas.openxmlformats.org/officeDocument/2006/relationships/hyperlink" Target="http://www.ioc-sealevelmonitoring.org/station.php?code=karl" TargetMode="External"/><Relationship Id="rId256" Type="http://schemas.openxmlformats.org/officeDocument/2006/relationships/hyperlink" Target="http://www.ioc-sealevelmonitoring.org/station.php?code=ysta" TargetMode="External"/><Relationship Id="rId298" Type="http://schemas.openxmlformats.org/officeDocument/2006/relationships/hyperlink" Target="https://www.psmsl.org/data/obtaining/stations/179.php" TargetMode="External"/><Relationship Id="rId421" Type="http://schemas.openxmlformats.org/officeDocument/2006/relationships/hyperlink" Target="http://www.ioc-sealevelmonitoring.org/station.php?code=skan" TargetMode="External"/><Relationship Id="rId463" Type="http://schemas.openxmlformats.org/officeDocument/2006/relationships/hyperlink" Target="https://viva.sjofartsverket.se/station/135" TargetMode="External"/><Relationship Id="rId519" Type="http://schemas.openxmlformats.org/officeDocument/2006/relationships/hyperlink" Target="https://viva.sjofartsverket.se/station/155" TargetMode="External"/><Relationship Id="rId670" Type="http://schemas.openxmlformats.org/officeDocument/2006/relationships/hyperlink" Target="https://www.marinetraffic.com/hy/ais/details/ships/shipid:271346/mmsi:246762000/imo:9469376/vessel:STENA_TRANSPORTER" TargetMode="External"/><Relationship Id="rId116" Type="http://schemas.openxmlformats.org/officeDocument/2006/relationships/hyperlink" Target="https://www.psmsl.org/data/obtaining/stations/88.php" TargetMode="External"/><Relationship Id="rId158" Type="http://schemas.openxmlformats.org/officeDocument/2006/relationships/hyperlink" Target="http://www.ioc-sealevelmonitoring.org/station.php?code=bona" TargetMode="External"/><Relationship Id="rId323" Type="http://schemas.openxmlformats.org/officeDocument/2006/relationships/hyperlink" Target="http://www.ioc-sealevelmonitoring.org/station.php?code=stens" TargetMode="External"/><Relationship Id="rId530" Type="http://schemas.openxmlformats.org/officeDocument/2006/relationships/hyperlink" Target="https://viva.sjofartsverket.se/station/214" TargetMode="External"/><Relationship Id="rId726" Type="http://schemas.openxmlformats.org/officeDocument/2006/relationships/hyperlink" Target="https://viva.sjofartsverket.se/station/84" TargetMode="External"/><Relationship Id="rId768" Type="http://schemas.openxmlformats.org/officeDocument/2006/relationships/hyperlink" Target="https://viva.sjofartsverket.se/station/112" TargetMode="External"/><Relationship Id="rId20" Type="http://schemas.openxmlformats.org/officeDocument/2006/relationships/hyperlink" Target="http://www.ioc-sealevelmonitoring.org/station.php?code=onsa" TargetMode="External"/><Relationship Id="rId62" Type="http://schemas.openxmlformats.org/officeDocument/2006/relationships/hyperlink" Target="https://www.psmsl.org/data/obtaining/stations/2111.php" TargetMode="External"/><Relationship Id="rId365" Type="http://schemas.openxmlformats.org/officeDocument/2006/relationships/hyperlink" Target="http://www.ioc-sealevelmonitoring.org/station.php?code=goto" TargetMode="External"/><Relationship Id="rId572" Type="http://schemas.openxmlformats.org/officeDocument/2006/relationships/hyperlink" Target="https://viva.sjofartsverket.se/station/65" TargetMode="External"/><Relationship Id="rId628" Type="http://schemas.openxmlformats.org/officeDocument/2006/relationships/hyperlink" Target="https://viva.sjofartsverket.se/station/199" TargetMode="External"/><Relationship Id="rId835" Type="http://schemas.openxmlformats.org/officeDocument/2006/relationships/vmlDrawing" Target="../drawings/vmlDrawing1.vml"/><Relationship Id="rId225" Type="http://schemas.openxmlformats.org/officeDocument/2006/relationships/hyperlink" Target="http://www.ioc-sealevelmonitoring.org/station.php?code=varb" TargetMode="External"/><Relationship Id="rId267" Type="http://schemas.openxmlformats.org/officeDocument/2006/relationships/hyperlink" Target="http://www.ioc-sealevelmonitoring.org/station.php?code=bars" TargetMode="External"/><Relationship Id="rId432" Type="http://schemas.openxmlformats.org/officeDocument/2006/relationships/hyperlink" Target="http://www.ioc-sealevelmonitoring.org/station.php?code=ysta" TargetMode="External"/><Relationship Id="rId474" Type="http://schemas.openxmlformats.org/officeDocument/2006/relationships/hyperlink" Target="https://viva.sjofartsverket.se/station/76" TargetMode="External"/><Relationship Id="rId127" Type="http://schemas.openxmlformats.org/officeDocument/2006/relationships/hyperlink" Target="https://www.psmsl.org/data/obtaining/stations/179.php" TargetMode="External"/><Relationship Id="rId681" Type="http://schemas.openxmlformats.org/officeDocument/2006/relationships/hyperlink" Target="https://www.marinetraffic.com/en/ais/details/ships/shipid:194642/mmsi:311000843/imo:9215505/vessel:STENA_NORDICA" TargetMode="External"/><Relationship Id="rId737" Type="http://schemas.openxmlformats.org/officeDocument/2006/relationships/hyperlink" Target="https://viva.sjofartsverket.se/station/81" TargetMode="External"/><Relationship Id="rId779" Type="http://schemas.openxmlformats.org/officeDocument/2006/relationships/hyperlink" Target="https://viva.sjofartsverket.se/station/170" TargetMode="External"/><Relationship Id="rId31" Type="http://schemas.openxmlformats.org/officeDocument/2006/relationships/hyperlink" Target="http://www.ioc-sealevelmonitoring.org/station.php?code=ring" TargetMode="External"/><Relationship Id="rId73" Type="http://schemas.openxmlformats.org/officeDocument/2006/relationships/hyperlink" Target="https://www.psmsl.org/data/obtaining/stations/203.php" TargetMode="External"/><Relationship Id="rId169" Type="http://schemas.openxmlformats.org/officeDocument/2006/relationships/hyperlink" Target="http://www.ioc-sealevelmonitoring.org/station.php?code=goer" TargetMode="External"/><Relationship Id="rId334" Type="http://schemas.openxmlformats.org/officeDocument/2006/relationships/hyperlink" Target="http://www.ioc-sealevelmonitoring.org/station.php?code=oska" TargetMode="External"/><Relationship Id="rId376" Type="http://schemas.openxmlformats.org/officeDocument/2006/relationships/hyperlink" Target="http://www.ioc-sealevelmonitoring.org/station.php?code=kalm" TargetMode="External"/><Relationship Id="rId541" Type="http://schemas.openxmlformats.org/officeDocument/2006/relationships/hyperlink" Target="https://viva.sjofartsverket.se/station/25" TargetMode="External"/><Relationship Id="rId583" Type="http://schemas.openxmlformats.org/officeDocument/2006/relationships/hyperlink" Target="https://viva.sjofartsverket.se/station/60" TargetMode="External"/><Relationship Id="rId639" Type="http://schemas.openxmlformats.org/officeDocument/2006/relationships/hyperlink" Target="https://viva.sjofartsverket.se/station/214" TargetMode="External"/><Relationship Id="rId790" Type="http://schemas.openxmlformats.org/officeDocument/2006/relationships/hyperlink" Target="https://viva.sjofartsverket.se/station/56" TargetMode="External"/><Relationship Id="rId804" Type="http://schemas.openxmlformats.org/officeDocument/2006/relationships/hyperlink" Target="https://viva.sjofartsverket.se/station/111" TargetMode="External"/><Relationship Id="rId4" Type="http://schemas.openxmlformats.org/officeDocument/2006/relationships/hyperlink" Target="http://www.ioc-sealevelmonitoring.org/station.php?code=goag" TargetMode="External"/><Relationship Id="rId180" Type="http://schemas.openxmlformats.org/officeDocument/2006/relationships/hyperlink" Target="http://www.ioc-sealevelmonitoring.org/station.php?code=holm" TargetMode="External"/><Relationship Id="rId236" Type="http://schemas.openxmlformats.org/officeDocument/2006/relationships/hyperlink" Target="http://www.ioc-sealevelmonitoring.org/station.php?code=stens" TargetMode="External"/><Relationship Id="rId278" Type="http://schemas.openxmlformats.org/officeDocument/2006/relationships/hyperlink" Target="http://www.ioc-sealevelmonitoring.org/station.php?code=goag" TargetMode="External"/><Relationship Id="rId401" Type="http://schemas.openxmlformats.org/officeDocument/2006/relationships/hyperlink" Target="https://www.psmsl.org/data/obtaining/stations/31.php" TargetMode="External"/><Relationship Id="rId443" Type="http://schemas.openxmlformats.org/officeDocument/2006/relationships/hyperlink" Target="http://www.ioc-sealevelmonitoring.org/station.php?code=stens" TargetMode="External"/><Relationship Id="rId650" Type="http://schemas.openxmlformats.org/officeDocument/2006/relationships/hyperlink" Target="https://viva.sjofartsverket.se/station/186" TargetMode="External"/><Relationship Id="rId303" Type="http://schemas.openxmlformats.org/officeDocument/2006/relationships/hyperlink" Target="http://www.ioc-sealevelmonitoring.org/station.php?code=sthm" TargetMode="External"/><Relationship Id="rId485" Type="http://schemas.openxmlformats.org/officeDocument/2006/relationships/hyperlink" Target="https://viva.sjofartsverket.se/station/79" TargetMode="External"/><Relationship Id="rId692" Type="http://schemas.openxmlformats.org/officeDocument/2006/relationships/hyperlink" Target="https://www.marinetraffic.com/en/ais/details/ships/shipid:4859182/mmsi:219560000/imo:9417919/vessel:STENA_FLAVIA" TargetMode="External"/><Relationship Id="rId706" Type="http://schemas.openxmlformats.org/officeDocument/2006/relationships/hyperlink" Target="https://www.marinetraffic.com/en/ais/details/ships/shipid:320194/mmsi:265348000/imo:7347639/vessel:ALE" TargetMode="External"/><Relationship Id="rId748" Type="http://schemas.openxmlformats.org/officeDocument/2006/relationships/hyperlink" Target="https://viva.sjofartsverket.se/station/57" TargetMode="External"/><Relationship Id="rId42" Type="http://schemas.openxmlformats.org/officeDocument/2006/relationships/hyperlink" Target="http://www.ioc-sealevelmonitoring.org/station.php?code=visb" TargetMode="External"/><Relationship Id="rId84" Type="http://schemas.openxmlformats.org/officeDocument/2006/relationships/hyperlink" Target="https://www.psmsl.org/data/obtaining/stations/70.php" TargetMode="External"/><Relationship Id="rId138" Type="http://schemas.openxmlformats.org/officeDocument/2006/relationships/hyperlink" Target="http://www.ioc-sealevelmonitoring.org/station.php?code=land" TargetMode="External"/><Relationship Id="rId345" Type="http://schemas.openxmlformats.org/officeDocument/2006/relationships/hyperlink" Target="https://www.psmsl.org/data/obtaining/stations/2109.php" TargetMode="External"/><Relationship Id="rId387" Type="http://schemas.openxmlformats.org/officeDocument/2006/relationships/hyperlink" Target="http://www.ioc-sealevelmonitoring.org/station.php?code=land" TargetMode="External"/><Relationship Id="rId510" Type="http://schemas.openxmlformats.org/officeDocument/2006/relationships/hyperlink" Target="https://viva.sjofartsverket.se/station/149" TargetMode="External"/><Relationship Id="rId552" Type="http://schemas.openxmlformats.org/officeDocument/2006/relationships/hyperlink" Target="https://viva.sjofartsverket.se/station/54" TargetMode="External"/><Relationship Id="rId594" Type="http://schemas.openxmlformats.org/officeDocument/2006/relationships/hyperlink" Target="https://viva.sjofartsverket.se/station/185" TargetMode="External"/><Relationship Id="rId608" Type="http://schemas.openxmlformats.org/officeDocument/2006/relationships/hyperlink" Target="https://viva.sjofartsverket.se/station/32" TargetMode="External"/><Relationship Id="rId815" Type="http://schemas.openxmlformats.org/officeDocument/2006/relationships/hyperlink" Target="https://viva.sjofartsverket.se/station/135" TargetMode="External"/><Relationship Id="rId191" Type="http://schemas.openxmlformats.org/officeDocument/2006/relationships/hyperlink" Target="http://www.ioc-sealevelmonitoring.org/station.php?code=goag" TargetMode="External"/><Relationship Id="rId205" Type="http://schemas.openxmlformats.org/officeDocument/2006/relationships/hyperlink" Target="http://www.ioc-sealevelmonitoring.org/station.php?code=land" TargetMode="External"/><Relationship Id="rId247" Type="http://schemas.openxmlformats.org/officeDocument/2006/relationships/hyperlink" Target="http://www.ioc-sealevelmonitoring.org/station.php?code=oxel" TargetMode="External"/><Relationship Id="rId412" Type="http://schemas.openxmlformats.org/officeDocument/2006/relationships/hyperlink" Target="https://www.psmsl.org/data/obtaining/stations/2331.php" TargetMode="External"/><Relationship Id="rId107" Type="http://schemas.openxmlformats.org/officeDocument/2006/relationships/hyperlink" Target="https://www.psmsl.org/data/obtaining/stations/2106.php" TargetMode="External"/><Relationship Id="rId289" Type="http://schemas.openxmlformats.org/officeDocument/2006/relationships/hyperlink" Target="http://www.ioc-sealevelmonitoring.org/station.php?code=kalit" TargetMode="External"/><Relationship Id="rId454" Type="http://schemas.openxmlformats.org/officeDocument/2006/relationships/hyperlink" Target="https://viva.sjofartsverket.se/station/148" TargetMode="External"/><Relationship Id="rId496" Type="http://schemas.openxmlformats.org/officeDocument/2006/relationships/hyperlink" Target="https://viva.sjofartsverket.se/station/83" TargetMode="External"/><Relationship Id="rId661" Type="http://schemas.openxmlformats.org/officeDocument/2006/relationships/hyperlink" Target="https://viva.sjofartsverket.se/station/213" TargetMode="External"/><Relationship Id="rId717" Type="http://schemas.openxmlformats.org/officeDocument/2006/relationships/hyperlink" Target="https://viva.sjofartsverket.se/station/89" TargetMode="External"/><Relationship Id="rId759" Type="http://schemas.openxmlformats.org/officeDocument/2006/relationships/hyperlink" Target="https://viva.sjofartsverket.se/station/1" TargetMode="External"/><Relationship Id="rId11" Type="http://schemas.openxmlformats.org/officeDocument/2006/relationships/hyperlink" Target="http://www.ioc-sealevelmonitoring.org/station.php?code=kaka" TargetMode="External"/><Relationship Id="rId53" Type="http://schemas.openxmlformats.org/officeDocument/2006/relationships/hyperlink" Target="http://www.ioc-sealevelmonitoring.org/station.php?code=vvik" TargetMode="External"/><Relationship Id="rId149" Type="http://schemas.openxmlformats.org/officeDocument/2006/relationships/hyperlink" Target="https://www.psmsl.org/data/obtaining/stations/2331.php" TargetMode="External"/><Relationship Id="rId314" Type="http://schemas.openxmlformats.org/officeDocument/2006/relationships/hyperlink" Target="https://www.psmsl.org/data/obtaining/stations/2105.php" TargetMode="External"/><Relationship Id="rId356" Type="http://schemas.openxmlformats.org/officeDocument/2006/relationships/hyperlink" Target="https://www.psmsl.org/data/obtaining/stations/203.php" TargetMode="External"/><Relationship Id="rId398" Type="http://schemas.openxmlformats.org/officeDocument/2006/relationships/hyperlink" Target="https://www.psmsl.org/data/obtaining/stations/2131.php" TargetMode="External"/><Relationship Id="rId521" Type="http://schemas.openxmlformats.org/officeDocument/2006/relationships/hyperlink" Target="https://viva.sjofartsverket.se/station/217" TargetMode="External"/><Relationship Id="rId563" Type="http://schemas.openxmlformats.org/officeDocument/2006/relationships/hyperlink" Target="https://viva.sjofartsverket.se/station/141" TargetMode="External"/><Relationship Id="rId619" Type="http://schemas.openxmlformats.org/officeDocument/2006/relationships/hyperlink" Target="https://viva.sjofartsverket.se/station/201" TargetMode="External"/><Relationship Id="rId770" Type="http://schemas.openxmlformats.org/officeDocument/2006/relationships/hyperlink" Target="https://viva.sjofartsverket.se/station/65" TargetMode="External"/><Relationship Id="rId95" Type="http://schemas.openxmlformats.org/officeDocument/2006/relationships/hyperlink" Target="https://www.psmsl.org/data/obtaining/stations/2105.php" TargetMode="External"/><Relationship Id="rId160" Type="http://schemas.openxmlformats.org/officeDocument/2006/relationships/hyperlink" Target="http://www.ioc-sealevelmonitoring.org/station.php?code=brof" TargetMode="External"/><Relationship Id="rId216" Type="http://schemas.openxmlformats.org/officeDocument/2006/relationships/hyperlink" Target="http://www.ioc-sealevelmonitoring.org/station.php?code=visb" TargetMode="External"/><Relationship Id="rId423" Type="http://schemas.openxmlformats.org/officeDocument/2006/relationships/hyperlink" Target="http://www.ioc-sealevelmonitoring.org/station.php?code=vvik" TargetMode="External"/><Relationship Id="rId826" Type="http://schemas.openxmlformats.org/officeDocument/2006/relationships/hyperlink" Target="https://viva.sjofartsverket.se/station/206" TargetMode="External"/><Relationship Id="rId258" Type="http://schemas.openxmlformats.org/officeDocument/2006/relationships/hyperlink" Target="http://www.ioc-sealevelmonitoring.org/station.php?code=simr" TargetMode="External"/><Relationship Id="rId465" Type="http://schemas.openxmlformats.org/officeDocument/2006/relationships/hyperlink" Target="https://viva.sjofartsverket.se/station/11" TargetMode="External"/><Relationship Id="rId630" Type="http://schemas.openxmlformats.org/officeDocument/2006/relationships/hyperlink" Target="https://viva.sjofartsverket.se/station/173" TargetMode="External"/><Relationship Id="rId672" Type="http://schemas.openxmlformats.org/officeDocument/2006/relationships/hyperlink" Target="https://www.marinetraffic.com/en/ais/details/ships/shipid:320105/mmsi:210231000/imo:7907659/vessel:STENA_VISION" TargetMode="External"/><Relationship Id="rId728" Type="http://schemas.openxmlformats.org/officeDocument/2006/relationships/hyperlink" Target="https://viva.sjofartsverket.se/station/115" TargetMode="External"/><Relationship Id="rId22" Type="http://schemas.openxmlformats.org/officeDocument/2006/relationships/hyperlink" Target="http://www.ioc-sealevelmonitoring.org/station.php?code=nyna" TargetMode="External"/><Relationship Id="rId64" Type="http://schemas.openxmlformats.org/officeDocument/2006/relationships/hyperlink" Target="https://www.psmsl.org/data/obtaining/stations/2109.php" TargetMode="External"/><Relationship Id="rId118" Type="http://schemas.openxmlformats.org/officeDocument/2006/relationships/hyperlink" Target="https://www.psmsl.org/data/obtaining/stations/2108.php" TargetMode="External"/><Relationship Id="rId325" Type="http://schemas.openxmlformats.org/officeDocument/2006/relationships/hyperlink" Target="http://www.ioc-sealevelmonitoring.org/station.php?code=ljus" TargetMode="External"/><Relationship Id="rId367" Type="http://schemas.openxmlformats.org/officeDocument/2006/relationships/hyperlink" Target="http://www.ioc-sealevelmonitoring.org/station.php?code=halm" TargetMode="External"/><Relationship Id="rId532" Type="http://schemas.openxmlformats.org/officeDocument/2006/relationships/hyperlink" Target="https://viva.sjofartsverket.se/station/212" TargetMode="External"/><Relationship Id="rId574" Type="http://schemas.openxmlformats.org/officeDocument/2006/relationships/hyperlink" Target="https://viva.sjofartsverket.se/station/55" TargetMode="External"/><Relationship Id="rId171" Type="http://schemas.openxmlformats.org/officeDocument/2006/relationships/hyperlink" Target="http://www.ioc-sealevelmonitoring.org/station.php?code=gokr" TargetMode="External"/><Relationship Id="rId227" Type="http://schemas.openxmlformats.org/officeDocument/2006/relationships/hyperlink" Target="http://www.ioc-sealevelmonitoring.org/station.php?code=udde" TargetMode="External"/><Relationship Id="rId781" Type="http://schemas.openxmlformats.org/officeDocument/2006/relationships/hyperlink" Target="https://viva.sjofartsverket.se/station/61" TargetMode="External"/><Relationship Id="rId269" Type="http://schemas.openxmlformats.org/officeDocument/2006/relationships/hyperlink" Target="http://www.ioc-sealevelmonitoring.org/station.php?code=arko" TargetMode="External"/><Relationship Id="rId434" Type="http://schemas.openxmlformats.org/officeDocument/2006/relationships/hyperlink" Target="http://www.ioc-sealevelmonitoring.org/station.php?code=varb" TargetMode="External"/><Relationship Id="rId476" Type="http://schemas.openxmlformats.org/officeDocument/2006/relationships/hyperlink" Target="https://viva.sjofartsverket.se/station/75" TargetMode="External"/><Relationship Id="rId641" Type="http://schemas.openxmlformats.org/officeDocument/2006/relationships/hyperlink" Target="https://viva.sjofartsverket.se/station/140" TargetMode="External"/><Relationship Id="rId683" Type="http://schemas.openxmlformats.org/officeDocument/2006/relationships/hyperlink" Target="https://www.marinetraffic.com/en/ais/details/ships/shipid:4425531/mmsi:910000702/imo:0/vessel:STENA_MERSEY" TargetMode="External"/><Relationship Id="rId739" Type="http://schemas.openxmlformats.org/officeDocument/2006/relationships/hyperlink" Target="https://viva.sjofartsverket.se/station/79" TargetMode="External"/><Relationship Id="rId33" Type="http://schemas.openxmlformats.org/officeDocument/2006/relationships/hyperlink" Target="http://www.ioc-sealevelmonitoring.org/station.php?code=tang" TargetMode="External"/><Relationship Id="rId129" Type="http://schemas.openxmlformats.org/officeDocument/2006/relationships/hyperlink" Target="https://www.psmsl.org/data/obtaining/stations/1211.php" TargetMode="External"/><Relationship Id="rId280" Type="http://schemas.openxmlformats.org/officeDocument/2006/relationships/hyperlink" Target="http://www.ioc-sealevelmonitoring.org/station.php?code=gokr" TargetMode="External"/><Relationship Id="rId336" Type="http://schemas.openxmlformats.org/officeDocument/2006/relationships/hyperlink" Target="http://www.ioc-sealevelmonitoring.org/station.php?code=oxel" TargetMode="External"/><Relationship Id="rId501" Type="http://schemas.openxmlformats.org/officeDocument/2006/relationships/hyperlink" Target="https://viva.sjofartsverket.se/station/171" TargetMode="External"/><Relationship Id="rId543" Type="http://schemas.openxmlformats.org/officeDocument/2006/relationships/hyperlink" Target="https://viva.sjofartsverket.se/station/72" TargetMode="External"/><Relationship Id="rId75" Type="http://schemas.openxmlformats.org/officeDocument/2006/relationships/hyperlink" Target="https://www.psmsl.org/data/obtaining/stations/74.php" TargetMode="External"/><Relationship Id="rId140" Type="http://schemas.openxmlformats.org/officeDocument/2006/relationships/hyperlink" Target="http://www.ioc-sealevelmonitoring.org/station.php?code=land" TargetMode="External"/><Relationship Id="rId182" Type="http://schemas.openxmlformats.org/officeDocument/2006/relationships/hyperlink" Target="http://www.ioc-sealevelmonitoring.org/station.php?code=jute" TargetMode="External"/><Relationship Id="rId378" Type="http://schemas.openxmlformats.org/officeDocument/2006/relationships/hyperlink" Target="http://www.ioc-sealevelmonitoring.org/station.php?code=klag" TargetMode="External"/><Relationship Id="rId403" Type="http://schemas.openxmlformats.org/officeDocument/2006/relationships/hyperlink" Target="https://www.psmsl.org/data/obtaining/stations/69.php" TargetMode="External"/><Relationship Id="rId585" Type="http://schemas.openxmlformats.org/officeDocument/2006/relationships/hyperlink" Target="https://viva.sjofartsverket.se/station/174" TargetMode="External"/><Relationship Id="rId750" Type="http://schemas.openxmlformats.org/officeDocument/2006/relationships/hyperlink" Target="https://viva.sjofartsverket.se/station/74" TargetMode="External"/><Relationship Id="rId792" Type="http://schemas.openxmlformats.org/officeDocument/2006/relationships/hyperlink" Target="https://viva.sjofartsverket.se/station/129" TargetMode="External"/><Relationship Id="rId806" Type="http://schemas.openxmlformats.org/officeDocument/2006/relationships/hyperlink" Target="https://viva.sjofartsverket.se/station/91" TargetMode="External"/><Relationship Id="rId6" Type="http://schemas.openxmlformats.org/officeDocument/2006/relationships/hyperlink" Target="http://www.ioc-sealevelmonitoring.org/station.php?code=goer" TargetMode="External"/><Relationship Id="rId238" Type="http://schemas.openxmlformats.org/officeDocument/2006/relationships/hyperlink" Target="http://www.ioc-sealevelmonitoring.org/station.php?code=spik" TargetMode="External"/><Relationship Id="rId445" Type="http://schemas.openxmlformats.org/officeDocument/2006/relationships/hyperlink" Target="https://www.psmsl.org/data/obtaining/stations/1211.php" TargetMode="External"/><Relationship Id="rId487" Type="http://schemas.openxmlformats.org/officeDocument/2006/relationships/hyperlink" Target="https://viva.sjofartsverket.se/station/3" TargetMode="External"/><Relationship Id="rId610" Type="http://schemas.openxmlformats.org/officeDocument/2006/relationships/hyperlink" Target="https://viva.sjofartsverket.se/station/153" TargetMode="External"/><Relationship Id="rId652" Type="http://schemas.openxmlformats.org/officeDocument/2006/relationships/hyperlink" Target="https://viva.sjofartsverket.se/station/193" TargetMode="External"/><Relationship Id="rId694" Type="http://schemas.openxmlformats.org/officeDocument/2006/relationships/hyperlink" Target="https://www.marinetraffic.com/en/ais/details/ships/shipid:319954/mmsi:265177000/imo:7907245/vessel:STENA_DANICA" TargetMode="External"/><Relationship Id="rId708" Type="http://schemas.openxmlformats.org/officeDocument/2006/relationships/hyperlink" Target="https://www.marinetraffic.com/en/ais/details/ships/shipid:319956/mmsi:265182000/imo:8700876/vessel:ODEN" TargetMode="External"/><Relationship Id="rId291" Type="http://schemas.openxmlformats.org/officeDocument/2006/relationships/hyperlink" Target="http://www.ioc-sealevelmonitoring.org/station.php?code=simp" TargetMode="External"/><Relationship Id="rId305" Type="http://schemas.openxmlformats.org/officeDocument/2006/relationships/hyperlink" Target="http://www.ioc-sealevelmonitoring.org/station.php?code=stro" TargetMode="External"/><Relationship Id="rId347" Type="http://schemas.openxmlformats.org/officeDocument/2006/relationships/hyperlink" Target="http://www.ioc-sealevelmonitoring.org/station.php?code=bona" TargetMode="External"/><Relationship Id="rId512" Type="http://schemas.openxmlformats.org/officeDocument/2006/relationships/hyperlink" Target="https://viva.sjofartsverket.se/station/177" TargetMode="External"/><Relationship Id="rId44" Type="http://schemas.openxmlformats.org/officeDocument/2006/relationships/hyperlink" Target="http://www.ioc-sealevelmonitoring.org/station.php?code=maha" TargetMode="External"/><Relationship Id="rId86" Type="http://schemas.openxmlformats.org/officeDocument/2006/relationships/hyperlink" Target="https://www.psmsl.org/data/obtaining/stations/70.php" TargetMode="External"/><Relationship Id="rId151" Type="http://schemas.openxmlformats.org/officeDocument/2006/relationships/hyperlink" Target="https://www.psmsl.org/data/obtaining/stations/78.php" TargetMode="External"/><Relationship Id="rId389" Type="http://schemas.openxmlformats.org/officeDocument/2006/relationships/hyperlink" Target="http://www.ioc-sealevelmonitoring.org/station.php?code=land" TargetMode="External"/><Relationship Id="rId554" Type="http://schemas.openxmlformats.org/officeDocument/2006/relationships/hyperlink" Target="https://viva.sjofartsverket.se/station/108" TargetMode="External"/><Relationship Id="rId596" Type="http://schemas.openxmlformats.org/officeDocument/2006/relationships/hyperlink" Target="https://viva.sjofartsverket.se/station/39" TargetMode="External"/><Relationship Id="rId761" Type="http://schemas.openxmlformats.org/officeDocument/2006/relationships/hyperlink" Target="https://viva.sjofartsverket.se/station/131" TargetMode="External"/><Relationship Id="rId817" Type="http://schemas.openxmlformats.org/officeDocument/2006/relationships/hyperlink" Target="https://viva.sjofartsverket.se/station/30" TargetMode="External"/><Relationship Id="rId193" Type="http://schemas.openxmlformats.org/officeDocument/2006/relationships/hyperlink" Target="http://www.ioc-sealevelmonitoring.org/station.php?code=goag" TargetMode="External"/><Relationship Id="rId207" Type="http://schemas.openxmlformats.org/officeDocument/2006/relationships/hyperlink" Target="http://www.ioc-sealevelmonitoring.org/station.php?code=kung" TargetMode="External"/><Relationship Id="rId249" Type="http://schemas.openxmlformats.org/officeDocument/2006/relationships/hyperlink" Target="http://www.ioc-sealevelmonitoring.org/station.php?code=oska" TargetMode="External"/><Relationship Id="rId414" Type="http://schemas.openxmlformats.org/officeDocument/2006/relationships/hyperlink" Target="https://www.psmsl.org/data/obtaining/stations/2111.php" TargetMode="External"/><Relationship Id="rId456" Type="http://schemas.openxmlformats.org/officeDocument/2006/relationships/hyperlink" Target="https://viva.sjofartsverket.se/station/25" TargetMode="External"/><Relationship Id="rId498" Type="http://schemas.openxmlformats.org/officeDocument/2006/relationships/hyperlink" Target="https://viva.sjofartsverket.se/station/204" TargetMode="External"/><Relationship Id="rId621" Type="http://schemas.openxmlformats.org/officeDocument/2006/relationships/hyperlink" Target="https://viva.sjofartsverket.se/station/136" TargetMode="External"/><Relationship Id="rId663" Type="http://schemas.openxmlformats.org/officeDocument/2006/relationships/hyperlink" Target="https://viva.sjofartsverket.se/station/211" TargetMode="External"/><Relationship Id="rId13" Type="http://schemas.openxmlformats.org/officeDocument/2006/relationships/hyperlink" Target="http://www.ioc-sealevelmonitoring.org/station.php?code=bars" TargetMode="External"/><Relationship Id="rId109" Type="http://schemas.openxmlformats.org/officeDocument/2006/relationships/hyperlink" Target="https://www.psmsl.org/data/obtaining/stations/2106.php" TargetMode="External"/><Relationship Id="rId260" Type="http://schemas.openxmlformats.org/officeDocument/2006/relationships/hyperlink" Target="http://www.ioc-sealevelmonitoring.org/station.php?code=simp" TargetMode="External"/><Relationship Id="rId316" Type="http://schemas.openxmlformats.org/officeDocument/2006/relationships/hyperlink" Target="http://www.ioc-sealevelmonitoring.org/station.php?code=karl" TargetMode="External"/><Relationship Id="rId523" Type="http://schemas.openxmlformats.org/officeDocument/2006/relationships/hyperlink" Target="https://viva.sjofartsverket.se/station/7" TargetMode="External"/><Relationship Id="rId719" Type="http://schemas.openxmlformats.org/officeDocument/2006/relationships/hyperlink" Target="https://viva.sjofartsverket.se/station/171" TargetMode="External"/><Relationship Id="rId55" Type="http://schemas.openxmlformats.org/officeDocument/2006/relationships/hyperlink" Target="http://www.ioc-sealevelmonitoring.org/station.php?code=jute" TargetMode="External"/><Relationship Id="rId97" Type="http://schemas.openxmlformats.org/officeDocument/2006/relationships/hyperlink" Target="https://www.psmsl.org/data/obtaining/stations/2105.php" TargetMode="External"/><Relationship Id="rId120" Type="http://schemas.openxmlformats.org/officeDocument/2006/relationships/hyperlink" Target="http://www.ioc-sealevelmonitoring.org/station.php?code=skagk" TargetMode="External"/><Relationship Id="rId358" Type="http://schemas.openxmlformats.org/officeDocument/2006/relationships/hyperlink" Target="http://www.ioc-sealevelmonitoring.org/station.php?code=goer" TargetMode="External"/><Relationship Id="rId565" Type="http://schemas.openxmlformats.org/officeDocument/2006/relationships/hyperlink" Target="https://viva.sjofartsverket.se/station/77" TargetMode="External"/><Relationship Id="rId730" Type="http://schemas.openxmlformats.org/officeDocument/2006/relationships/hyperlink" Target="https://viva.sjofartsverket.se/station/176" TargetMode="External"/><Relationship Id="rId772" Type="http://schemas.openxmlformats.org/officeDocument/2006/relationships/hyperlink" Target="https://viva.sjofartsverket.se/station/108" TargetMode="External"/><Relationship Id="rId828" Type="http://schemas.openxmlformats.org/officeDocument/2006/relationships/hyperlink" Target="https://viva.sjofartsverket.se/station/114" TargetMode="External"/><Relationship Id="rId162" Type="http://schemas.openxmlformats.org/officeDocument/2006/relationships/hyperlink" Target="http://www.ioc-sealevelmonitoring.org/station.php?code=e4bs" TargetMode="External"/><Relationship Id="rId218" Type="http://schemas.openxmlformats.org/officeDocument/2006/relationships/hyperlink" Target="http://www.ioc-sealevelmonitoring.org/station.php?code=vin2" TargetMode="External"/><Relationship Id="rId425" Type="http://schemas.openxmlformats.org/officeDocument/2006/relationships/hyperlink" Target="https://www.psmsl.org/data/obtaining/stations/2110.php" TargetMode="External"/><Relationship Id="rId467" Type="http://schemas.openxmlformats.org/officeDocument/2006/relationships/hyperlink" Target="https://viva.sjofartsverket.se/station/181" TargetMode="External"/><Relationship Id="rId632" Type="http://schemas.openxmlformats.org/officeDocument/2006/relationships/hyperlink" Target="https://viva.sjofartsverket.se/station/147" TargetMode="External"/><Relationship Id="rId271" Type="http://schemas.openxmlformats.org/officeDocument/2006/relationships/hyperlink" Target="http://www.ioc-sealevelmonitoring.org/station.php?code=brof" TargetMode="External"/><Relationship Id="rId674" Type="http://schemas.openxmlformats.org/officeDocument/2006/relationships/hyperlink" Target="https://www.marinetraffic.com/en/photos/picture/ships/2505301/9211511/shipid:858044/imo:9211511/mmsi:235108315/vessel:STENA%20SUPERFAST%20X" TargetMode="External"/><Relationship Id="rId24" Type="http://schemas.openxmlformats.org/officeDocument/2006/relationships/hyperlink" Target="http://www.ioc-sealevelmonitoring.org/station.php?code=rata" TargetMode="External"/><Relationship Id="rId66" Type="http://schemas.openxmlformats.org/officeDocument/2006/relationships/hyperlink" Target="https://www.psmsl.org/data/obtaining/stations/90.php" TargetMode="External"/><Relationship Id="rId131" Type="http://schemas.openxmlformats.org/officeDocument/2006/relationships/hyperlink" Target="https://www.psmsl.org/data/obtaining/stations/140.php" TargetMode="External"/><Relationship Id="rId327" Type="http://schemas.openxmlformats.org/officeDocument/2006/relationships/hyperlink" Target="http://www.ioc-sealevelmonitoring.org/station.php?code=maha" TargetMode="External"/><Relationship Id="rId369" Type="http://schemas.openxmlformats.org/officeDocument/2006/relationships/hyperlink" Target="http://www.ioc-sealevelmonitoring.org/station.php?code=hels" TargetMode="External"/><Relationship Id="rId534" Type="http://schemas.openxmlformats.org/officeDocument/2006/relationships/hyperlink" Target="https://viva.sjofartsverket.se/station/183" TargetMode="External"/><Relationship Id="rId576" Type="http://schemas.openxmlformats.org/officeDocument/2006/relationships/hyperlink" Target="https://viva.sjofartsverket.se/station/69" TargetMode="External"/><Relationship Id="rId741" Type="http://schemas.openxmlformats.org/officeDocument/2006/relationships/hyperlink" Target="https://viva.sjofartsverket.se/station/182" TargetMode="External"/><Relationship Id="rId783" Type="http://schemas.openxmlformats.org/officeDocument/2006/relationships/hyperlink" Target="https://viva.sjofartsverket.se/station/104" TargetMode="External"/><Relationship Id="rId173" Type="http://schemas.openxmlformats.org/officeDocument/2006/relationships/hyperlink" Target="http://www.ioc-sealevelmonitoring.org/station.php?code=goti" TargetMode="External"/><Relationship Id="rId229" Type="http://schemas.openxmlformats.org/officeDocument/2006/relationships/hyperlink" Target="http://www.ioc-sealevelmonitoring.org/station.php?code=tang" TargetMode="External"/><Relationship Id="rId380" Type="http://schemas.openxmlformats.org/officeDocument/2006/relationships/hyperlink" Target="http://www.ioc-sealevelmonitoring.org/station.php?code=kung" TargetMode="External"/><Relationship Id="rId436" Type="http://schemas.openxmlformats.org/officeDocument/2006/relationships/hyperlink" Target="https://www.psmsl.org/data/obtaining/stations/73.php" TargetMode="External"/><Relationship Id="rId601" Type="http://schemas.openxmlformats.org/officeDocument/2006/relationships/hyperlink" Target="https://viva.sjofartsverket.se/station/91" TargetMode="External"/><Relationship Id="rId643" Type="http://schemas.openxmlformats.org/officeDocument/2006/relationships/hyperlink" Target="https://viva.sjofartsverket.se/station/94" TargetMode="External"/><Relationship Id="rId240" Type="http://schemas.openxmlformats.org/officeDocument/2006/relationships/hyperlink" Target="http://www.ioc-sealevelmonitoring.org/station.php?code=smog" TargetMode="External"/><Relationship Id="rId478" Type="http://schemas.openxmlformats.org/officeDocument/2006/relationships/hyperlink" Target="https://viva.sjofartsverket.se/station/73" TargetMode="External"/><Relationship Id="rId685" Type="http://schemas.openxmlformats.org/officeDocument/2006/relationships/hyperlink" Target="https://www.marinetraffic.com/en/ais/details/ships/shipid:193822/mmsi:219029263/imo:9329849/vessel:STENA_SCANDICA" TargetMode="External"/><Relationship Id="rId35" Type="http://schemas.openxmlformats.org/officeDocument/2006/relationships/hyperlink" Target="http://www.ioc-sealevelmonitoring.org/station.php?code=sthm" TargetMode="External"/><Relationship Id="rId77" Type="http://schemas.openxmlformats.org/officeDocument/2006/relationships/hyperlink" Target="https://www.psmsl.org/data/obtaining/stations/2133.php" TargetMode="External"/><Relationship Id="rId100" Type="http://schemas.openxmlformats.org/officeDocument/2006/relationships/hyperlink" Target="https://www.psmsl.org/data/obtaining/stations/2110.php" TargetMode="External"/><Relationship Id="rId282" Type="http://schemas.openxmlformats.org/officeDocument/2006/relationships/hyperlink" Target="http://www.ioc-sealevelmonitoring.org/station.php?code=tang" TargetMode="External"/><Relationship Id="rId338" Type="http://schemas.openxmlformats.org/officeDocument/2006/relationships/hyperlink" Target="https://www.psmsl.org/data/obtaining/stations/88.php" TargetMode="External"/><Relationship Id="rId503" Type="http://schemas.openxmlformats.org/officeDocument/2006/relationships/hyperlink" Target="https://viva.sjofartsverket.se/station/14" TargetMode="External"/><Relationship Id="rId545" Type="http://schemas.openxmlformats.org/officeDocument/2006/relationships/hyperlink" Target="https://viva.sjofartsverket.se/station/127" TargetMode="External"/><Relationship Id="rId587" Type="http://schemas.openxmlformats.org/officeDocument/2006/relationships/hyperlink" Target="https://viva.sjofartsverket.se/station/44" TargetMode="External"/><Relationship Id="rId710" Type="http://schemas.openxmlformats.org/officeDocument/2006/relationships/hyperlink" Target="https://viva.sjofartsverket.se/station/25" TargetMode="External"/><Relationship Id="rId752" Type="http://schemas.openxmlformats.org/officeDocument/2006/relationships/hyperlink" Target="https://viva.sjofartsverket.se/station/6" TargetMode="External"/><Relationship Id="rId808" Type="http://schemas.openxmlformats.org/officeDocument/2006/relationships/hyperlink" Target="https://viva.sjofartsverket.se/station/119" TargetMode="External"/><Relationship Id="rId8" Type="http://schemas.openxmlformats.org/officeDocument/2006/relationships/hyperlink" Target="http://www.ioc-sealevelmonitoring.org/station.php?code=goti" TargetMode="External"/><Relationship Id="rId142" Type="http://schemas.openxmlformats.org/officeDocument/2006/relationships/hyperlink" Target="https://www.psmsl.org/data/obtaining/stations/69.php" TargetMode="External"/><Relationship Id="rId184" Type="http://schemas.openxmlformats.org/officeDocument/2006/relationships/hyperlink" Target="http://www.ioc-sealevelmonitoring.org/station.php?code=kaka" TargetMode="External"/><Relationship Id="rId391" Type="http://schemas.openxmlformats.org/officeDocument/2006/relationships/hyperlink" Target="http://www.ioc-sealevelmonitoring.org/station.php?code=lund" TargetMode="External"/><Relationship Id="rId405" Type="http://schemas.openxmlformats.org/officeDocument/2006/relationships/hyperlink" Target="http://www.ioc-sealevelmonitoring.org/station.php?code=simp" TargetMode="External"/><Relationship Id="rId447" Type="http://schemas.openxmlformats.org/officeDocument/2006/relationships/hyperlink" Target="http://www.ioc-sealevelmonitoring.org/station.php?code=smog" TargetMode="External"/><Relationship Id="rId612" Type="http://schemas.openxmlformats.org/officeDocument/2006/relationships/hyperlink" Target="https://viva.sjofartsverket.se/station/191" TargetMode="External"/><Relationship Id="rId794" Type="http://schemas.openxmlformats.org/officeDocument/2006/relationships/hyperlink" Target="https://viva.sjofartsverket.se/station/44" TargetMode="External"/><Relationship Id="rId251" Type="http://schemas.openxmlformats.org/officeDocument/2006/relationships/hyperlink" Target="http://www.ioc-sealevelmonitoring.org/station.php?code=onsa" TargetMode="External"/><Relationship Id="rId489" Type="http://schemas.openxmlformats.org/officeDocument/2006/relationships/hyperlink" Target="https://viva.sjofartsverket.se/station/154" TargetMode="External"/><Relationship Id="rId654" Type="http://schemas.openxmlformats.org/officeDocument/2006/relationships/hyperlink" Target="https://viva.sjofartsverket.se/station/205" TargetMode="External"/><Relationship Id="rId696" Type="http://schemas.openxmlformats.org/officeDocument/2006/relationships/hyperlink" Target="https://www.marinetraffic.com/en/ais/details/ships/shipid:203074/mmsi:235667000/imo:9235529/vessel:STENA_ADVENTURER" TargetMode="External"/><Relationship Id="rId46" Type="http://schemas.openxmlformats.org/officeDocument/2006/relationships/hyperlink" Target="http://www.ioc-sealevelmonitoring.org/station.php?code=maha" TargetMode="External"/><Relationship Id="rId293" Type="http://schemas.openxmlformats.org/officeDocument/2006/relationships/hyperlink" Target="https://www.psmsl.org/data/obtaining/stations/2107.php" TargetMode="External"/><Relationship Id="rId307" Type="http://schemas.openxmlformats.org/officeDocument/2006/relationships/hyperlink" Target="https://www.psmsl.org/data/obtaining/stations/2360.php" TargetMode="External"/><Relationship Id="rId349" Type="http://schemas.openxmlformats.org/officeDocument/2006/relationships/hyperlink" Target="http://www.ioc-sealevelmonitoring.org/station.php?code=drag" TargetMode="External"/><Relationship Id="rId514" Type="http://schemas.openxmlformats.org/officeDocument/2006/relationships/hyperlink" Target="https://viva.sjofartsverket.se/station/225" TargetMode="External"/><Relationship Id="rId556" Type="http://schemas.openxmlformats.org/officeDocument/2006/relationships/hyperlink" Target="https://viva.sjofartsverket.se/station/134" TargetMode="External"/><Relationship Id="rId721" Type="http://schemas.openxmlformats.org/officeDocument/2006/relationships/hyperlink" Target="https://viva.sjofartsverket.se/station/138" TargetMode="External"/><Relationship Id="rId763" Type="http://schemas.openxmlformats.org/officeDocument/2006/relationships/hyperlink" Target="https://viva.sjofartsverket.se/station/55" TargetMode="External"/><Relationship Id="rId88" Type="http://schemas.openxmlformats.org/officeDocument/2006/relationships/hyperlink" Target="https://www.psmsl.org/data/obtaining/stations/2113.php" TargetMode="External"/><Relationship Id="rId111" Type="http://schemas.openxmlformats.org/officeDocument/2006/relationships/hyperlink" Target="https://www.psmsl.org/data/obtaining/stations/2107.php" TargetMode="External"/><Relationship Id="rId153" Type="http://schemas.openxmlformats.org/officeDocument/2006/relationships/hyperlink" Target="https://www.psmsl.org/data/obtaining/stations/78.php" TargetMode="External"/><Relationship Id="rId195" Type="http://schemas.openxmlformats.org/officeDocument/2006/relationships/hyperlink" Target="http://www.ioc-sealevelmonitoring.org/station.php?code=olan" TargetMode="External"/><Relationship Id="rId209" Type="http://schemas.openxmlformats.org/officeDocument/2006/relationships/hyperlink" Target="http://www.ioc-sealevelmonitoring.org/station.php?code=kungr" TargetMode="External"/><Relationship Id="rId360" Type="http://schemas.openxmlformats.org/officeDocument/2006/relationships/hyperlink" Target="https://www.psmsl.org/data/obtaining/stations/74.php" TargetMode="External"/><Relationship Id="rId416" Type="http://schemas.openxmlformats.org/officeDocument/2006/relationships/hyperlink" Target="https://www.psmsl.org/data/obtaining/stations/2107.php" TargetMode="External"/><Relationship Id="rId598" Type="http://schemas.openxmlformats.org/officeDocument/2006/relationships/hyperlink" Target="https://viva.sjofartsverket.se/station/186" TargetMode="External"/><Relationship Id="rId819" Type="http://schemas.openxmlformats.org/officeDocument/2006/relationships/hyperlink" Target="https://viva.sjofartsverket.se/station/141" TargetMode="External"/><Relationship Id="rId220" Type="http://schemas.openxmlformats.org/officeDocument/2006/relationships/hyperlink" Target="http://www.ioc-sealevelmonitoring.org/station.php?code=vikew" TargetMode="External"/><Relationship Id="rId458" Type="http://schemas.openxmlformats.org/officeDocument/2006/relationships/hyperlink" Target="https://viva.sjofartsverket.se/station/15" TargetMode="External"/><Relationship Id="rId623" Type="http://schemas.openxmlformats.org/officeDocument/2006/relationships/hyperlink" Target="https://viva.sjofartsverket.se/station/180" TargetMode="External"/><Relationship Id="rId665" Type="http://schemas.openxmlformats.org/officeDocument/2006/relationships/hyperlink" Target="https://viva.sjofartsverket.se/station/203" TargetMode="External"/><Relationship Id="rId830" Type="http://schemas.openxmlformats.org/officeDocument/2006/relationships/hyperlink" Target="https://viva.sjofartsverket.se/station/90" TargetMode="External"/><Relationship Id="rId15" Type="http://schemas.openxmlformats.org/officeDocument/2006/relationships/hyperlink" Target="http://www.ioc-sealevelmonitoring.org/station.php?code=brof" TargetMode="External"/><Relationship Id="rId57" Type="http://schemas.openxmlformats.org/officeDocument/2006/relationships/hyperlink" Target="https://www.psmsl.org/data/obtaining/stations/77.php" TargetMode="External"/><Relationship Id="rId262" Type="http://schemas.openxmlformats.org/officeDocument/2006/relationships/hyperlink" Target="https://www.psmsl.org/data/obtaining/stations/2104.php" TargetMode="External"/><Relationship Id="rId318" Type="http://schemas.openxmlformats.org/officeDocument/2006/relationships/hyperlink" Target="https://www.psmsl.org/data/obtaining/stations/330.php" TargetMode="External"/><Relationship Id="rId525" Type="http://schemas.openxmlformats.org/officeDocument/2006/relationships/hyperlink" Target="https://viva.sjofartsverket.se/station/161" TargetMode="External"/><Relationship Id="rId567" Type="http://schemas.openxmlformats.org/officeDocument/2006/relationships/hyperlink" Target="https://viva.sjofartsverket.se/station/180" TargetMode="External"/><Relationship Id="rId732" Type="http://schemas.openxmlformats.org/officeDocument/2006/relationships/hyperlink" Target="https://viva.sjofartsverket.se/station/151" TargetMode="External"/><Relationship Id="rId99" Type="http://schemas.openxmlformats.org/officeDocument/2006/relationships/hyperlink" Target="https://www.psmsl.org/data/obtaining/stations/2110.php" TargetMode="External"/><Relationship Id="rId122" Type="http://schemas.openxmlformats.org/officeDocument/2006/relationships/hyperlink" Target="http://www.ioc-sealevelmonitoring.org/station.php?code=skan" TargetMode="External"/><Relationship Id="rId164" Type="http://schemas.openxmlformats.org/officeDocument/2006/relationships/hyperlink" Target="http://www.ioc-sealevelmonitoring.org/station.php?code=falk" TargetMode="External"/><Relationship Id="rId371" Type="http://schemas.openxmlformats.org/officeDocument/2006/relationships/hyperlink" Target="http://www.ioc-sealevelmonitoring.org/station.php?code=jute" TargetMode="External"/><Relationship Id="rId774" Type="http://schemas.openxmlformats.org/officeDocument/2006/relationships/hyperlink" Target="https://viva.sjofartsverket.se/station/62" TargetMode="External"/><Relationship Id="rId427" Type="http://schemas.openxmlformats.org/officeDocument/2006/relationships/hyperlink" Target="https://www.psmsl.org/data/obtaining/stations/2105.php" TargetMode="External"/><Relationship Id="rId469" Type="http://schemas.openxmlformats.org/officeDocument/2006/relationships/hyperlink" Target="https://viva.sjofartsverket.se/station/201" TargetMode="External"/><Relationship Id="rId634" Type="http://schemas.openxmlformats.org/officeDocument/2006/relationships/hyperlink" Target="https://viva.sjofartsverket.se/station/174" TargetMode="External"/><Relationship Id="rId676" Type="http://schemas.openxmlformats.org/officeDocument/2006/relationships/hyperlink" Target="https://www.marinetraffic.com/en/ais/details/ships/shipid:198406/mmsi:235089435/imo:9198941/vessel:STENA_SUPERFAST_VII" TargetMode="External"/><Relationship Id="rId26" Type="http://schemas.openxmlformats.org/officeDocument/2006/relationships/hyperlink" Target="http://www.ioc-sealevelmonitoring.org/station.php?code=kung" TargetMode="External"/><Relationship Id="rId231" Type="http://schemas.openxmlformats.org/officeDocument/2006/relationships/hyperlink" Target="http://www.ioc-sealevelmonitoring.org/station.php?code=stro" TargetMode="External"/><Relationship Id="rId273" Type="http://schemas.openxmlformats.org/officeDocument/2006/relationships/hyperlink" Target="http://www.ioc-sealevelmonitoring.org/station.php?code=falk" TargetMode="External"/><Relationship Id="rId329" Type="http://schemas.openxmlformats.org/officeDocument/2006/relationships/hyperlink" Target="http://www.ioc-sealevelmonitoring.org/station.php?code=nyna" TargetMode="External"/><Relationship Id="rId480" Type="http://schemas.openxmlformats.org/officeDocument/2006/relationships/hyperlink" Target="https://viva.sjofartsverket.se/station/157" TargetMode="External"/><Relationship Id="rId536" Type="http://schemas.openxmlformats.org/officeDocument/2006/relationships/hyperlink" Target="https://viva.sjofartsverket.se/station/12" TargetMode="External"/><Relationship Id="rId701" Type="http://schemas.openxmlformats.org/officeDocument/2006/relationships/hyperlink" Target="https://www.smhi.se/kunskapsbanken/oceanografi/havspegel-varberg-1.13868" TargetMode="External"/><Relationship Id="rId68" Type="http://schemas.openxmlformats.org/officeDocument/2006/relationships/hyperlink" Target="https://www.psmsl.org/data/obtaining/stations/122.php" TargetMode="External"/><Relationship Id="rId133" Type="http://schemas.openxmlformats.org/officeDocument/2006/relationships/hyperlink" Target="https://www.psmsl.org/data/obtaining/stations/99.php" TargetMode="External"/><Relationship Id="rId175" Type="http://schemas.openxmlformats.org/officeDocument/2006/relationships/hyperlink" Target="http://www.ioc-sealevelmonitoring.org/station.php?code=halm" TargetMode="External"/><Relationship Id="rId340" Type="http://schemas.openxmlformats.org/officeDocument/2006/relationships/hyperlink" Target="https://viva.sjofartsverket.se/station/179" TargetMode="External"/><Relationship Id="rId578" Type="http://schemas.openxmlformats.org/officeDocument/2006/relationships/hyperlink" Target="https://viva.sjofartsverket.se/station/227" TargetMode="External"/><Relationship Id="rId743" Type="http://schemas.openxmlformats.org/officeDocument/2006/relationships/hyperlink" Target="https://viva.sjofartsverket.se/station/78" TargetMode="External"/><Relationship Id="rId785" Type="http://schemas.openxmlformats.org/officeDocument/2006/relationships/hyperlink" Target="https://viva.sjofartsverket.se/station/59" TargetMode="External"/><Relationship Id="rId200" Type="http://schemas.openxmlformats.org/officeDocument/2006/relationships/hyperlink" Target="http://www.ioc-sealevelmonitoring.org/station.php?code=lund" TargetMode="External"/><Relationship Id="rId382" Type="http://schemas.openxmlformats.org/officeDocument/2006/relationships/hyperlink" Target="http://www.ioc-sealevelmonitoring.org/station.php?code=kungr" TargetMode="External"/><Relationship Id="rId438" Type="http://schemas.openxmlformats.org/officeDocument/2006/relationships/hyperlink" Target="https://www.psmsl.org/data/obtaining/stations/2360.php" TargetMode="External"/><Relationship Id="rId603" Type="http://schemas.openxmlformats.org/officeDocument/2006/relationships/hyperlink" Target="https://viva.sjofartsverket.se/station/34" TargetMode="External"/><Relationship Id="rId645" Type="http://schemas.openxmlformats.org/officeDocument/2006/relationships/hyperlink" Target="https://viva.sjofartsverket.se/station/97" TargetMode="External"/><Relationship Id="rId687" Type="http://schemas.openxmlformats.org/officeDocument/2006/relationships/hyperlink" Target="https://www.marinetraffic.com/en/ais/details/ships/shipid:214173/mmsi:244758000/imo:9419163/vessel:STENA_HOLLANDICA" TargetMode="External"/><Relationship Id="rId810" Type="http://schemas.openxmlformats.org/officeDocument/2006/relationships/hyperlink" Target="https://viva.sjofartsverket.se/station/168" TargetMode="External"/><Relationship Id="rId242" Type="http://schemas.openxmlformats.org/officeDocument/2006/relationships/hyperlink" Target="http://www.ioc-sealevelmonitoring.org/station.php?code=ring" TargetMode="External"/><Relationship Id="rId284" Type="http://schemas.openxmlformats.org/officeDocument/2006/relationships/hyperlink" Target="http://www.ioc-sealevelmonitoring.org/station.php?code=halm" TargetMode="External"/><Relationship Id="rId491" Type="http://schemas.openxmlformats.org/officeDocument/2006/relationships/hyperlink" Target="https://viva.sjofartsverket.se/station/82" TargetMode="External"/><Relationship Id="rId505" Type="http://schemas.openxmlformats.org/officeDocument/2006/relationships/hyperlink" Target="https://viva.sjofartsverket.se/station/93" TargetMode="External"/><Relationship Id="rId712" Type="http://schemas.openxmlformats.org/officeDocument/2006/relationships/hyperlink" Target="https://viva.sjofartsverket.se/station/93" TargetMode="External"/><Relationship Id="rId37" Type="http://schemas.openxmlformats.org/officeDocument/2006/relationships/hyperlink" Target="http://www.ioc-sealevelmonitoring.org/station.php?code=smog" TargetMode="External"/><Relationship Id="rId79" Type="http://schemas.openxmlformats.org/officeDocument/2006/relationships/hyperlink" Target="https://www.psmsl.org/data/obtaining/stations/2101.php" TargetMode="External"/><Relationship Id="rId102" Type="http://schemas.openxmlformats.org/officeDocument/2006/relationships/hyperlink" Target="https://www.psmsl.org/data/obtaining/stations/73.php" TargetMode="External"/><Relationship Id="rId144" Type="http://schemas.openxmlformats.org/officeDocument/2006/relationships/hyperlink" Target="https://www.psmsl.org/data/obtaining/stations/69.php" TargetMode="External"/><Relationship Id="rId547" Type="http://schemas.openxmlformats.org/officeDocument/2006/relationships/hyperlink" Target="https://viva.sjofartsverket.se/station/17" TargetMode="External"/><Relationship Id="rId589" Type="http://schemas.openxmlformats.org/officeDocument/2006/relationships/hyperlink" Target="https://viva.sjofartsverket.se/station/124" TargetMode="External"/><Relationship Id="rId754" Type="http://schemas.openxmlformats.org/officeDocument/2006/relationships/hyperlink" Target="https://viva.sjofartsverket.se/station/72" TargetMode="External"/><Relationship Id="rId796" Type="http://schemas.openxmlformats.org/officeDocument/2006/relationships/hyperlink" Target="https://viva.sjofartsverket.se/station/43" TargetMode="External"/><Relationship Id="rId90" Type="http://schemas.openxmlformats.org/officeDocument/2006/relationships/hyperlink" Target="https://www.psmsl.org/data/obtaining/stations/68.php" TargetMode="External"/><Relationship Id="rId186" Type="http://schemas.openxmlformats.org/officeDocument/2006/relationships/hyperlink" Target="http://www.ioc-sealevelmonitoring.org/station.php?code=kalit" TargetMode="External"/><Relationship Id="rId351" Type="http://schemas.openxmlformats.org/officeDocument/2006/relationships/hyperlink" Target="http://www.ioc-sealevelmonitoring.org/station.php?code=e4bs" TargetMode="External"/><Relationship Id="rId393" Type="http://schemas.openxmlformats.org/officeDocument/2006/relationships/hyperlink" Target="http://www.ioc-sealevelmonitoring.org/station.php?code=mard" TargetMode="External"/><Relationship Id="rId407" Type="http://schemas.openxmlformats.org/officeDocument/2006/relationships/hyperlink" Target="https://www.psmsl.org/data/obtaining/stations/88.php" TargetMode="External"/><Relationship Id="rId449" Type="http://schemas.openxmlformats.org/officeDocument/2006/relationships/hyperlink" Target="http://www.ioc-sealevelmonitoring.org/station.php?code=bona" TargetMode="External"/><Relationship Id="rId614" Type="http://schemas.openxmlformats.org/officeDocument/2006/relationships/hyperlink" Target="https://viva.sjofartsverket.se/station/164" TargetMode="External"/><Relationship Id="rId656" Type="http://schemas.openxmlformats.org/officeDocument/2006/relationships/hyperlink" Target="https://viva.sjofartsverket.se/station/197" TargetMode="External"/><Relationship Id="rId821" Type="http://schemas.openxmlformats.org/officeDocument/2006/relationships/hyperlink" Target="https://viva.sjofartsverket.se/station/163" TargetMode="External"/><Relationship Id="rId211" Type="http://schemas.openxmlformats.org/officeDocument/2006/relationships/hyperlink" Target="http://www.ioc-sealevelmonitoring.org/station.php?code=klag" TargetMode="External"/><Relationship Id="rId253" Type="http://schemas.openxmlformats.org/officeDocument/2006/relationships/hyperlink" Target="http://www.ioc-sealevelmonitoring.org/station.php?code=ysta" TargetMode="External"/><Relationship Id="rId295" Type="http://schemas.openxmlformats.org/officeDocument/2006/relationships/hyperlink" Target="https://www.psmsl.org/data/obtaining/stations/2108.php" TargetMode="External"/><Relationship Id="rId309" Type="http://schemas.openxmlformats.org/officeDocument/2006/relationships/hyperlink" Target="http://www.ioc-sealevelmonitoring.org/station.php?code=vvik" TargetMode="External"/><Relationship Id="rId460" Type="http://schemas.openxmlformats.org/officeDocument/2006/relationships/hyperlink" Target="https://viva.sjofartsverket.se/station/97" TargetMode="External"/><Relationship Id="rId516" Type="http://schemas.openxmlformats.org/officeDocument/2006/relationships/hyperlink" Target="https://viva.sjofartsverket.se/station/67" TargetMode="External"/><Relationship Id="rId698" Type="http://schemas.openxmlformats.org/officeDocument/2006/relationships/hyperlink" Target="http://www.marinetraffic.com/en/ais/details/ships/266232000" TargetMode="External"/><Relationship Id="rId48" Type="http://schemas.openxmlformats.org/officeDocument/2006/relationships/hyperlink" Target="http://www.ioc-sealevelmonitoring.org/station.php?code=mard" TargetMode="External"/><Relationship Id="rId113" Type="http://schemas.openxmlformats.org/officeDocument/2006/relationships/hyperlink" Target="https://www.psmsl.org/data/obtaining/stations/2102.php" TargetMode="External"/><Relationship Id="rId320" Type="http://schemas.openxmlformats.org/officeDocument/2006/relationships/hyperlink" Target="https://www.psmsl.org/data/obtaining/stations/70.php" TargetMode="External"/><Relationship Id="rId558" Type="http://schemas.openxmlformats.org/officeDocument/2006/relationships/hyperlink" Target="https://viva.sjofartsverket.se/station/61" TargetMode="External"/><Relationship Id="rId723" Type="http://schemas.openxmlformats.org/officeDocument/2006/relationships/hyperlink" Target="https://viva.sjofartsverket.se/station/106" TargetMode="External"/><Relationship Id="rId765" Type="http://schemas.openxmlformats.org/officeDocument/2006/relationships/hyperlink" Target="https://viva.sjofartsverket.se/station/69" TargetMode="External"/><Relationship Id="rId155" Type="http://schemas.openxmlformats.org/officeDocument/2006/relationships/hyperlink" Target="http://www.ioc-sealevelmonitoring.org/station.php?code=arko" TargetMode="External"/><Relationship Id="rId197" Type="http://schemas.openxmlformats.org/officeDocument/2006/relationships/hyperlink" Target="http://www.ioc-sealevelmonitoring.org/station.php?code=nyna" TargetMode="External"/><Relationship Id="rId362" Type="http://schemas.openxmlformats.org/officeDocument/2006/relationships/hyperlink" Target="https://www.psmsl.org/data/obtaining/stations/2133.php" TargetMode="External"/><Relationship Id="rId418" Type="http://schemas.openxmlformats.org/officeDocument/2006/relationships/hyperlink" Target="http://www.ioc-sealevelmonitoring.org/station.php?code=skagk" TargetMode="External"/><Relationship Id="rId625" Type="http://schemas.openxmlformats.org/officeDocument/2006/relationships/hyperlink" Target="https://viva.sjofartsverket.se/station/219" TargetMode="External"/><Relationship Id="rId832" Type="http://schemas.openxmlformats.org/officeDocument/2006/relationships/hyperlink" Target="https://viva.sjofartsverket.se/station/153" TargetMode="External"/><Relationship Id="rId222" Type="http://schemas.openxmlformats.org/officeDocument/2006/relationships/hyperlink" Target="http://www.ioc-sealevelmonitoring.org/station.php?code=vvik" TargetMode="External"/><Relationship Id="rId264" Type="http://schemas.openxmlformats.org/officeDocument/2006/relationships/hyperlink" Target="https://www.psmsl.org/data/obtaining/stations/2111.php" TargetMode="External"/><Relationship Id="rId471" Type="http://schemas.openxmlformats.org/officeDocument/2006/relationships/hyperlink" Target="https://viva.sjofartsverket.se/station/6" TargetMode="External"/><Relationship Id="rId667" Type="http://schemas.openxmlformats.org/officeDocument/2006/relationships/hyperlink" Target="https://viva.sjofartsverket.se/station/10" TargetMode="External"/><Relationship Id="rId17" Type="http://schemas.openxmlformats.org/officeDocument/2006/relationships/hyperlink" Target="http://www.ioc-sealevelmonitoring.org/station.php?code=e4bs" TargetMode="External"/><Relationship Id="rId59" Type="http://schemas.openxmlformats.org/officeDocument/2006/relationships/hyperlink" Target="https://www.psmsl.org/data/obtaining/stations/2359.php" TargetMode="External"/><Relationship Id="rId124" Type="http://schemas.openxmlformats.org/officeDocument/2006/relationships/hyperlink" Target="http://www.ioc-sealevelmonitoring.org/station.php?code=skan" TargetMode="External"/><Relationship Id="rId527" Type="http://schemas.openxmlformats.org/officeDocument/2006/relationships/hyperlink" Target="https://viva.sjofartsverket.se/station/215" TargetMode="External"/><Relationship Id="rId569" Type="http://schemas.openxmlformats.org/officeDocument/2006/relationships/hyperlink" Target="https://viva.sjofartsverket.se/station/13" TargetMode="External"/><Relationship Id="rId734" Type="http://schemas.openxmlformats.org/officeDocument/2006/relationships/hyperlink" Target="https://viva.sjofartsverket.se/station/82" TargetMode="External"/><Relationship Id="rId776" Type="http://schemas.openxmlformats.org/officeDocument/2006/relationships/hyperlink" Target="https://viva.sjofartsverket.se/station/116" TargetMode="External"/><Relationship Id="rId70" Type="http://schemas.openxmlformats.org/officeDocument/2006/relationships/hyperlink" Target="https://www.psmsl.org/data/obtaining/stations/2103.php" TargetMode="External"/><Relationship Id="rId166" Type="http://schemas.openxmlformats.org/officeDocument/2006/relationships/hyperlink" Target="http://www.ioc-sealevelmonitoring.org/station.php?code=fors" TargetMode="External"/><Relationship Id="rId331" Type="http://schemas.openxmlformats.org/officeDocument/2006/relationships/hyperlink" Target="http://www.ioc-sealevelmonitoring.org/station.php?code=olan" TargetMode="External"/><Relationship Id="rId373" Type="http://schemas.openxmlformats.org/officeDocument/2006/relationships/hyperlink" Target="http://www.ioc-sealevelmonitoring.org/station.php?code=kalit" TargetMode="External"/><Relationship Id="rId429" Type="http://schemas.openxmlformats.org/officeDocument/2006/relationships/hyperlink" Target="http://www.ioc-sealevelmonitoring.org/station.php?code=vvik" TargetMode="External"/><Relationship Id="rId580" Type="http://schemas.openxmlformats.org/officeDocument/2006/relationships/hyperlink" Target="https://viva.sjofartsverket.se/station/99" TargetMode="External"/><Relationship Id="rId636" Type="http://schemas.openxmlformats.org/officeDocument/2006/relationships/hyperlink" Target="https://viva.sjofartsverket.se/station/137" TargetMode="External"/><Relationship Id="rId801" Type="http://schemas.openxmlformats.org/officeDocument/2006/relationships/hyperlink" Target="https://viva.sjofartsverket.se/station/39" TargetMode="External"/><Relationship Id="rId1" Type="http://schemas.openxmlformats.org/officeDocument/2006/relationships/hyperlink" Target="http://www.ioc-sealevelmonitoring.org/station.php?code=kalit" TargetMode="External"/><Relationship Id="rId233" Type="http://schemas.openxmlformats.org/officeDocument/2006/relationships/hyperlink" Target="http://www.ioc-sealevelmonitoring.org/station.php?code=sthm" TargetMode="External"/><Relationship Id="rId440" Type="http://schemas.openxmlformats.org/officeDocument/2006/relationships/hyperlink" Target="https://www.psmsl.org/data/obtaining/stations/140.php" TargetMode="External"/><Relationship Id="rId678" Type="http://schemas.openxmlformats.org/officeDocument/2006/relationships/hyperlink" Target="https://www.marinetraffic.com/en/ais/details/ships/shipid:327562/mmsi:266343000/imo:9235517/vessel:STENA_SCANDINAVICA" TargetMode="External"/><Relationship Id="rId28" Type="http://schemas.openxmlformats.org/officeDocument/2006/relationships/hyperlink" Target="http://www.ioc-sealevelmonitoring.org/station.php?code=land" TargetMode="External"/><Relationship Id="rId275" Type="http://schemas.openxmlformats.org/officeDocument/2006/relationships/hyperlink" Target="https://www.psmsl.org/data/obtaining/stations/2103.php" TargetMode="External"/><Relationship Id="rId300" Type="http://schemas.openxmlformats.org/officeDocument/2006/relationships/hyperlink" Target="https://www.psmsl.org/data/obtaining/stations/1211.php" TargetMode="External"/><Relationship Id="rId482" Type="http://schemas.openxmlformats.org/officeDocument/2006/relationships/hyperlink" Target="https://viva.sjofartsverket.se/station/110" TargetMode="External"/><Relationship Id="rId538" Type="http://schemas.openxmlformats.org/officeDocument/2006/relationships/hyperlink" Target="https://viva.sjofartsverket.se/station/35" TargetMode="External"/><Relationship Id="rId703" Type="http://schemas.openxmlformats.org/officeDocument/2006/relationships/hyperlink" Target="https://viva.sjofartsverket.se/station/183" TargetMode="External"/><Relationship Id="rId745" Type="http://schemas.openxmlformats.org/officeDocument/2006/relationships/hyperlink" Target="https://viva.sjofartsverket.se/station/77" TargetMode="External"/><Relationship Id="rId81" Type="http://schemas.openxmlformats.org/officeDocument/2006/relationships/hyperlink" Target="https://www.psmsl.org/data/obtaining/stations/330.php" TargetMode="External"/><Relationship Id="rId135" Type="http://schemas.openxmlformats.org/officeDocument/2006/relationships/hyperlink" Target="https://www.psmsl.org/data/obtaining/stations/170.php" TargetMode="External"/><Relationship Id="rId177" Type="http://schemas.openxmlformats.org/officeDocument/2006/relationships/hyperlink" Target="http://www.ioc-sealevelmonitoring.org/station.php?code=halm" TargetMode="External"/><Relationship Id="rId342" Type="http://schemas.openxmlformats.org/officeDocument/2006/relationships/hyperlink" Target="https://www.psmsl.org/data/obtaining/stations/2359.php" TargetMode="External"/><Relationship Id="rId384" Type="http://schemas.openxmlformats.org/officeDocument/2006/relationships/hyperlink" Target="http://www.ioc-sealevelmonitoring.org/station.php?code=land" TargetMode="External"/><Relationship Id="rId591" Type="http://schemas.openxmlformats.org/officeDocument/2006/relationships/hyperlink" Target="https://viva.sjofartsverket.se/station/168" TargetMode="External"/><Relationship Id="rId605" Type="http://schemas.openxmlformats.org/officeDocument/2006/relationships/hyperlink" Target="https://viva.sjofartsverket.se/station/31" TargetMode="External"/><Relationship Id="rId787" Type="http://schemas.openxmlformats.org/officeDocument/2006/relationships/hyperlink" Target="https://viva.sjofartsverket.se/station/126" TargetMode="External"/><Relationship Id="rId812" Type="http://schemas.openxmlformats.org/officeDocument/2006/relationships/hyperlink" Target="https://viva.sjofartsverket.se/station/34" TargetMode="External"/><Relationship Id="rId202" Type="http://schemas.openxmlformats.org/officeDocument/2006/relationships/hyperlink" Target="http://www.ioc-sealevelmonitoring.org/station.php?code=ljus" TargetMode="External"/><Relationship Id="rId244" Type="http://schemas.openxmlformats.org/officeDocument/2006/relationships/hyperlink" Target="http://www.ioc-sealevelmonitoring.org/station.php?code=rata" TargetMode="External"/><Relationship Id="rId647" Type="http://schemas.openxmlformats.org/officeDocument/2006/relationships/hyperlink" Target="https://viva.sjofartsverket.se/station/17" TargetMode="External"/><Relationship Id="rId689" Type="http://schemas.openxmlformats.org/officeDocument/2006/relationships/hyperlink" Target="https://www.marinetraffic.com/en/ais/details/ships/shipid:153510/mmsi:219147000/imo:7826867/vessel:STENA_GOTHICA" TargetMode="External"/><Relationship Id="rId39" Type="http://schemas.openxmlformats.org/officeDocument/2006/relationships/hyperlink" Target="http://www.ioc-sealevelmonitoring.org/station.php?code=varb" TargetMode="External"/><Relationship Id="rId286" Type="http://schemas.openxmlformats.org/officeDocument/2006/relationships/hyperlink" Target="http://www.ioc-sealevelmonitoring.org/station.php?code=holm" TargetMode="External"/><Relationship Id="rId451" Type="http://schemas.openxmlformats.org/officeDocument/2006/relationships/hyperlink" Target="https://viva.sjofartsverket.se/station/115" TargetMode="External"/><Relationship Id="rId493" Type="http://schemas.openxmlformats.org/officeDocument/2006/relationships/hyperlink" Target="https://viva.sjofartsverket.se/station/222" TargetMode="External"/><Relationship Id="rId507" Type="http://schemas.openxmlformats.org/officeDocument/2006/relationships/hyperlink" Target="https://viva.sjofartsverket.se/station/89" TargetMode="External"/><Relationship Id="rId549" Type="http://schemas.openxmlformats.org/officeDocument/2006/relationships/hyperlink" Target="https://viva.sjofartsverket.se/station/21" TargetMode="External"/><Relationship Id="rId714" Type="http://schemas.openxmlformats.org/officeDocument/2006/relationships/hyperlink" Target="https://viva.sjofartsverket.se/station/16" TargetMode="External"/><Relationship Id="rId756" Type="http://schemas.openxmlformats.org/officeDocument/2006/relationships/hyperlink" Target="https://viva.sjofartsverket.se/station/23" TargetMode="External"/><Relationship Id="rId50" Type="http://schemas.openxmlformats.org/officeDocument/2006/relationships/hyperlink" Target="http://www.ioc-sealevelmonitoring.org/station.php?code=klag" TargetMode="External"/><Relationship Id="rId104" Type="http://schemas.openxmlformats.org/officeDocument/2006/relationships/hyperlink" Target="https://www.psmsl.org/data/obtaining/stations/2360.php" TargetMode="External"/><Relationship Id="rId146" Type="http://schemas.openxmlformats.org/officeDocument/2006/relationships/hyperlink" Target="https://www.psmsl.org/data/obtaining/stations/2131.php" TargetMode="External"/><Relationship Id="rId188" Type="http://schemas.openxmlformats.org/officeDocument/2006/relationships/hyperlink" Target="http://www.ioc-sealevelmonitoring.org/station.php?code=kalm" TargetMode="External"/><Relationship Id="rId311" Type="http://schemas.openxmlformats.org/officeDocument/2006/relationships/hyperlink" Target="https://www.psmsl.org/data/obtaining/stations/2110.php" TargetMode="External"/><Relationship Id="rId353" Type="http://schemas.openxmlformats.org/officeDocument/2006/relationships/hyperlink" Target="http://www.ioc-sealevelmonitoring.org/station.php?code=fors" TargetMode="External"/><Relationship Id="rId395" Type="http://schemas.openxmlformats.org/officeDocument/2006/relationships/hyperlink" Target="http://www.ioc-sealevelmonitoring.org/station.php?code=vikew" TargetMode="External"/><Relationship Id="rId409" Type="http://schemas.openxmlformats.org/officeDocument/2006/relationships/hyperlink" Target="http://www.ioc-sealevelmonitoring.org/station.php?code=oska" TargetMode="External"/><Relationship Id="rId560" Type="http://schemas.openxmlformats.org/officeDocument/2006/relationships/hyperlink" Target="https://viva.sjofartsverket.se/station/58" TargetMode="External"/><Relationship Id="rId798" Type="http://schemas.openxmlformats.org/officeDocument/2006/relationships/hyperlink" Target="https://viva.sjofartsverket.se/station/40" TargetMode="External"/><Relationship Id="rId92" Type="http://schemas.openxmlformats.org/officeDocument/2006/relationships/hyperlink" Target="https://www.psmsl.org/data/obtaining/stations/2132.php" TargetMode="External"/><Relationship Id="rId213" Type="http://schemas.openxmlformats.org/officeDocument/2006/relationships/hyperlink" Target="http://www.ioc-sealevelmonitoring.org/station.php?code=karl" TargetMode="External"/><Relationship Id="rId420" Type="http://schemas.openxmlformats.org/officeDocument/2006/relationships/hyperlink" Target="https://www.psmsl.org/data/obtaining/stations/2108.php" TargetMode="External"/><Relationship Id="rId616" Type="http://schemas.openxmlformats.org/officeDocument/2006/relationships/hyperlink" Target="https://viva.sjofartsverket.se/station/143" TargetMode="External"/><Relationship Id="rId658" Type="http://schemas.openxmlformats.org/officeDocument/2006/relationships/hyperlink" Target="https://viva.sjofartsverket.se/station/225" TargetMode="External"/><Relationship Id="rId823" Type="http://schemas.openxmlformats.org/officeDocument/2006/relationships/hyperlink" Target="https://viva.sjofartsverket.se/station/90" TargetMode="External"/><Relationship Id="rId255" Type="http://schemas.openxmlformats.org/officeDocument/2006/relationships/hyperlink" Target="http://www.ioc-sealevelmonitoring.org/station.php?code=ysta" TargetMode="External"/><Relationship Id="rId297" Type="http://schemas.openxmlformats.org/officeDocument/2006/relationships/hyperlink" Target="http://www.ioc-sealevelmonitoring.org/station.php?code=smog" TargetMode="External"/><Relationship Id="rId462" Type="http://schemas.openxmlformats.org/officeDocument/2006/relationships/hyperlink" Target="https://viva.sjofartsverket.se/station/27" TargetMode="External"/><Relationship Id="rId518" Type="http://schemas.openxmlformats.org/officeDocument/2006/relationships/hyperlink" Target="https://viva.sjofartsverket.se/station/202" TargetMode="External"/><Relationship Id="rId725" Type="http://schemas.openxmlformats.org/officeDocument/2006/relationships/hyperlink" Target="https://viva.sjofartsverket.se/station/87" TargetMode="External"/><Relationship Id="rId115" Type="http://schemas.openxmlformats.org/officeDocument/2006/relationships/hyperlink" Target="https://www.psmsl.org/data/obtaining/stations/88.php" TargetMode="External"/><Relationship Id="rId157" Type="http://schemas.openxmlformats.org/officeDocument/2006/relationships/hyperlink" Target="http://www.ioc-sealevelmonitoring.org/station.php?code=bars" TargetMode="External"/><Relationship Id="rId322" Type="http://schemas.openxmlformats.org/officeDocument/2006/relationships/hyperlink" Target="https://www.psmsl.org/data/obtaining/stations/2113.php" TargetMode="External"/><Relationship Id="rId364" Type="http://schemas.openxmlformats.org/officeDocument/2006/relationships/hyperlink" Target="http://www.ioc-sealevelmonitoring.org/station.php?code=goti" TargetMode="External"/><Relationship Id="rId767" Type="http://schemas.openxmlformats.org/officeDocument/2006/relationships/hyperlink" Target="https://viva.sjofartsverket.se/station/189" TargetMode="External"/><Relationship Id="rId61" Type="http://schemas.openxmlformats.org/officeDocument/2006/relationships/hyperlink" Target="https://www.psmsl.org/data/obtaining/stations/2111.php" TargetMode="External"/><Relationship Id="rId199" Type="http://schemas.openxmlformats.org/officeDocument/2006/relationships/hyperlink" Target="http://www.ioc-sealevelmonitoring.org/station.php?code=mard" TargetMode="External"/><Relationship Id="rId571" Type="http://schemas.openxmlformats.org/officeDocument/2006/relationships/hyperlink" Target="https://viva.sjofartsverket.se/station/2" TargetMode="External"/><Relationship Id="rId627" Type="http://schemas.openxmlformats.org/officeDocument/2006/relationships/hyperlink" Target="https://viva.sjofartsverket.se/station/202" TargetMode="External"/><Relationship Id="rId669" Type="http://schemas.openxmlformats.org/officeDocument/2006/relationships/hyperlink" Target="https://www.marinetraffic.com/sv/ais/details/ships/shipid:153548/mmsi:219000776/imo:7826855/vessel:URD" TargetMode="External"/><Relationship Id="rId834" Type="http://schemas.openxmlformats.org/officeDocument/2006/relationships/drawing" Target="../drawings/drawing1.xml"/><Relationship Id="rId19" Type="http://schemas.openxmlformats.org/officeDocument/2006/relationships/hyperlink" Target="http://www.ioc-sealevelmonitoring.org/station.php?code=vin2" TargetMode="External"/><Relationship Id="rId224" Type="http://schemas.openxmlformats.org/officeDocument/2006/relationships/hyperlink" Target="http://www.ioc-sealevelmonitoring.org/station.php?code=varb" TargetMode="External"/><Relationship Id="rId266" Type="http://schemas.openxmlformats.org/officeDocument/2006/relationships/hyperlink" Target="https://www.psmsl.org/data/obtaining/stations/2109.php" TargetMode="External"/><Relationship Id="rId431" Type="http://schemas.openxmlformats.org/officeDocument/2006/relationships/hyperlink" Target="https://www.psmsl.org/data/obtaining/stations/72.php" TargetMode="External"/><Relationship Id="rId473" Type="http://schemas.openxmlformats.org/officeDocument/2006/relationships/hyperlink" Target="https://viva.sjofartsverket.se/station/76" TargetMode="External"/><Relationship Id="rId529" Type="http://schemas.openxmlformats.org/officeDocument/2006/relationships/hyperlink" Target="https://viva.sjofartsverket.se/station/4" TargetMode="External"/><Relationship Id="rId680" Type="http://schemas.openxmlformats.org/officeDocument/2006/relationships/hyperlink" Target="https://www.marinetraffic.com/en/ais/details/ships/shipid:1283618/mmsi:210121000/imo:7911545/vessel:SAGA" TargetMode="External"/><Relationship Id="rId736" Type="http://schemas.openxmlformats.org/officeDocument/2006/relationships/hyperlink" Target="https://viva.sjofartsverket.se/station/154" TargetMode="External"/><Relationship Id="rId30" Type="http://schemas.openxmlformats.org/officeDocument/2006/relationships/hyperlink" Target="http://www.ioc-sealevelmonitoring.org/station.php?code=simr" TargetMode="External"/><Relationship Id="rId126" Type="http://schemas.openxmlformats.org/officeDocument/2006/relationships/hyperlink" Target="https://www.psmsl.org/data/obtaining/stations/179.php" TargetMode="External"/><Relationship Id="rId168" Type="http://schemas.openxmlformats.org/officeDocument/2006/relationships/hyperlink" Target="http://www.ioc-sealevelmonitoring.org/station.php?code=furu" TargetMode="External"/><Relationship Id="rId333" Type="http://schemas.openxmlformats.org/officeDocument/2006/relationships/hyperlink" Target="https://www.psmsl.org/data/obtaining/stations/2331.php" TargetMode="External"/><Relationship Id="rId540" Type="http://schemas.openxmlformats.org/officeDocument/2006/relationships/hyperlink" Target="https://viva.sjofartsverket.se/station/223" TargetMode="External"/><Relationship Id="rId778" Type="http://schemas.openxmlformats.org/officeDocument/2006/relationships/hyperlink" Target="https://viva.sjofartsverket.se/station/155" TargetMode="External"/><Relationship Id="rId72" Type="http://schemas.openxmlformats.org/officeDocument/2006/relationships/hyperlink" Target="https://www.psmsl.org/data/obtaining/stations/203.php" TargetMode="External"/><Relationship Id="rId375" Type="http://schemas.openxmlformats.org/officeDocument/2006/relationships/hyperlink" Target="http://www.ioc-sealevelmonitoring.org/station.php?code=kalm" TargetMode="External"/><Relationship Id="rId582" Type="http://schemas.openxmlformats.org/officeDocument/2006/relationships/hyperlink" Target="https://viva.sjofartsverket.se/station/59" TargetMode="External"/><Relationship Id="rId638" Type="http://schemas.openxmlformats.org/officeDocument/2006/relationships/hyperlink" Target="https://viva.sjofartsverket.se/station/203" TargetMode="External"/><Relationship Id="rId803" Type="http://schemas.openxmlformats.org/officeDocument/2006/relationships/hyperlink" Target="https://viva.sjofartsverket.se/station/12" TargetMode="External"/><Relationship Id="rId3" Type="http://schemas.openxmlformats.org/officeDocument/2006/relationships/hyperlink" Target="http://www.ioc-sealevelmonitoring.org/station.php?code=oska" TargetMode="External"/><Relationship Id="rId235" Type="http://schemas.openxmlformats.org/officeDocument/2006/relationships/hyperlink" Target="http://www.ioc-sealevelmonitoring.org/station.php?code=stens" TargetMode="External"/><Relationship Id="rId277" Type="http://schemas.openxmlformats.org/officeDocument/2006/relationships/hyperlink" Target="https://www.psmsl.org/data/obtaining/stations/203.php" TargetMode="External"/><Relationship Id="rId400" Type="http://schemas.openxmlformats.org/officeDocument/2006/relationships/hyperlink" Target="https://www.psmsl.org/data/obtaining/stations/170.php" TargetMode="External"/><Relationship Id="rId442" Type="http://schemas.openxmlformats.org/officeDocument/2006/relationships/hyperlink" Target="https://www.psmsl.org/data/obtaining/stations/78.php" TargetMode="External"/><Relationship Id="rId484" Type="http://schemas.openxmlformats.org/officeDocument/2006/relationships/hyperlink" Target="https://viva.sjofartsverket.se/station/162" TargetMode="External"/><Relationship Id="rId705" Type="http://schemas.openxmlformats.org/officeDocument/2006/relationships/hyperlink" Target="https://viva.sjofartsverket.se/station/60" TargetMode="External"/><Relationship Id="rId137" Type="http://schemas.openxmlformats.org/officeDocument/2006/relationships/hyperlink" Target="http://www.ioc-sealevelmonitoring.org/station.php?code=skagk" TargetMode="External"/><Relationship Id="rId302" Type="http://schemas.openxmlformats.org/officeDocument/2006/relationships/hyperlink" Target="http://www.ioc-sealevelmonitoring.org/station.php?code=stens" TargetMode="External"/><Relationship Id="rId344" Type="http://schemas.openxmlformats.org/officeDocument/2006/relationships/hyperlink" Target="http://www.ioc-sealevelmonitoring.org/station.php?code=bars" TargetMode="External"/><Relationship Id="rId691" Type="http://schemas.openxmlformats.org/officeDocument/2006/relationships/hyperlink" Target="https://www.marinetraffic.com/en/ais/details/ships/shipid:327507/mmsi:266331000/imo:9145176/vessel:STENA_GERMANICA" TargetMode="External"/><Relationship Id="rId747" Type="http://schemas.openxmlformats.org/officeDocument/2006/relationships/hyperlink" Target="https://viva.sjofartsverket.se/station/76" TargetMode="External"/><Relationship Id="rId789" Type="http://schemas.openxmlformats.org/officeDocument/2006/relationships/hyperlink" Target="https://viva.sjofartsverket.se/station/150" TargetMode="External"/><Relationship Id="rId41" Type="http://schemas.openxmlformats.org/officeDocument/2006/relationships/hyperlink" Target="http://www.ioc-sealevelmonitoring.org/station.php?code=vikew" TargetMode="External"/><Relationship Id="rId83" Type="http://schemas.openxmlformats.org/officeDocument/2006/relationships/hyperlink" Target="https://www.psmsl.org/data/obtaining/stations/330.php" TargetMode="External"/><Relationship Id="rId179" Type="http://schemas.openxmlformats.org/officeDocument/2006/relationships/hyperlink" Target="http://www.ioc-sealevelmonitoring.org/station.php?code=hels" TargetMode="External"/><Relationship Id="rId386" Type="http://schemas.openxmlformats.org/officeDocument/2006/relationships/hyperlink" Target="http://www.ioc-sealevelmonitoring.org/station.php?code=land" TargetMode="External"/><Relationship Id="rId551" Type="http://schemas.openxmlformats.org/officeDocument/2006/relationships/hyperlink" Target="https://viva.sjofartsverket.se/station/112" TargetMode="External"/><Relationship Id="rId593" Type="http://schemas.openxmlformats.org/officeDocument/2006/relationships/hyperlink" Target="https://viva.sjofartsverket.se/station/41" TargetMode="External"/><Relationship Id="rId607" Type="http://schemas.openxmlformats.org/officeDocument/2006/relationships/hyperlink" Target="https://viva.sjofartsverket.se/station/33" TargetMode="External"/><Relationship Id="rId649" Type="http://schemas.openxmlformats.org/officeDocument/2006/relationships/hyperlink" Target="https://viva.sjofartsverket.se/station/184" TargetMode="External"/><Relationship Id="rId814" Type="http://schemas.openxmlformats.org/officeDocument/2006/relationships/hyperlink" Target="https://viva.sjofartsverket.se/station/33" TargetMode="External"/><Relationship Id="rId190" Type="http://schemas.openxmlformats.org/officeDocument/2006/relationships/hyperlink" Target="http://www.ioc-sealevelmonitoring.org/station.php?code=kalm" TargetMode="External"/><Relationship Id="rId204" Type="http://schemas.openxmlformats.org/officeDocument/2006/relationships/hyperlink" Target="http://www.ioc-sealevelmonitoring.org/station.php?code=land" TargetMode="External"/><Relationship Id="rId246" Type="http://schemas.openxmlformats.org/officeDocument/2006/relationships/hyperlink" Target="http://www.ioc-sealevelmonitoring.org/station.php?code=oxel" TargetMode="External"/><Relationship Id="rId288" Type="http://schemas.openxmlformats.org/officeDocument/2006/relationships/hyperlink" Target="https://www.psmsl.org/data/obtaining/stations/2101.php" TargetMode="External"/><Relationship Id="rId411" Type="http://schemas.openxmlformats.org/officeDocument/2006/relationships/hyperlink" Target="http://www.ioc-sealevelmonitoring.org/station.php?code=onsa" TargetMode="External"/><Relationship Id="rId453" Type="http://schemas.openxmlformats.org/officeDocument/2006/relationships/hyperlink" Target="https://viva.sjofartsverket.se/station/189" TargetMode="External"/><Relationship Id="rId509" Type="http://schemas.openxmlformats.org/officeDocument/2006/relationships/hyperlink" Target="http://vivadisplay.sjofartsverket.se/" TargetMode="External"/><Relationship Id="rId660" Type="http://schemas.openxmlformats.org/officeDocument/2006/relationships/hyperlink" Target="https://viva.sjofartsverket.se/station/215" TargetMode="External"/><Relationship Id="rId106" Type="http://schemas.openxmlformats.org/officeDocument/2006/relationships/hyperlink" Target="https://www.psmsl.org/data/obtaining/stations/2104.php" TargetMode="External"/><Relationship Id="rId313" Type="http://schemas.openxmlformats.org/officeDocument/2006/relationships/hyperlink" Target="http://www.ioc-sealevelmonitoring.org/station.php?code=visb" TargetMode="External"/><Relationship Id="rId495" Type="http://schemas.openxmlformats.org/officeDocument/2006/relationships/hyperlink" Target="https://viva.sjofartsverket.se/station/176" TargetMode="External"/><Relationship Id="rId716" Type="http://schemas.openxmlformats.org/officeDocument/2006/relationships/hyperlink" Target="https://viva.sjofartsverket.se/station/107" TargetMode="External"/><Relationship Id="rId758" Type="http://schemas.openxmlformats.org/officeDocument/2006/relationships/hyperlink" Target="https://viva.sjofartsverket.se/station/105" TargetMode="External"/><Relationship Id="rId10" Type="http://schemas.openxmlformats.org/officeDocument/2006/relationships/hyperlink" Target="http://www.ioc-sealevelmonitoring.org/station.php?code=hels" TargetMode="External"/><Relationship Id="rId52" Type="http://schemas.openxmlformats.org/officeDocument/2006/relationships/hyperlink" Target="http://www.ioc-sealevelmonitoring.org/station.php?code=sthm" TargetMode="External"/><Relationship Id="rId94" Type="http://schemas.openxmlformats.org/officeDocument/2006/relationships/hyperlink" Target="https://www.psmsl.org/data/obtaining/stations/323.php" TargetMode="External"/><Relationship Id="rId148" Type="http://schemas.openxmlformats.org/officeDocument/2006/relationships/hyperlink" Target="https://www.psmsl.org/data/obtaining/stations/2331.php" TargetMode="External"/><Relationship Id="rId355" Type="http://schemas.openxmlformats.org/officeDocument/2006/relationships/hyperlink" Target="http://www.ioc-sealevelmonitoring.org/station.php?code=furu" TargetMode="External"/><Relationship Id="rId397" Type="http://schemas.openxmlformats.org/officeDocument/2006/relationships/hyperlink" Target="http://www.ioc-sealevelmonitoring.org/station.php?code=sthm" TargetMode="External"/><Relationship Id="rId520" Type="http://schemas.openxmlformats.org/officeDocument/2006/relationships/hyperlink" Target="https://viva.sjofartsverket.se/station/170" TargetMode="External"/><Relationship Id="rId562" Type="http://schemas.openxmlformats.org/officeDocument/2006/relationships/hyperlink" Target="https://viva.sjofartsverket.se/station/56" TargetMode="External"/><Relationship Id="rId618" Type="http://schemas.openxmlformats.org/officeDocument/2006/relationships/hyperlink" Target="https://viva.sjofartsverket.se/station/159" TargetMode="External"/><Relationship Id="rId825" Type="http://schemas.openxmlformats.org/officeDocument/2006/relationships/hyperlink" Target="https://www.marinetraffic.com/en/ais/details/ships/shipid:319809/mmsi:265066000/imo:7505346/vessel:YMER" TargetMode="External"/><Relationship Id="rId215" Type="http://schemas.openxmlformats.org/officeDocument/2006/relationships/hyperlink" Target="http://www.ioc-sealevelmonitoring.org/station.php?code=visb" TargetMode="External"/><Relationship Id="rId257" Type="http://schemas.openxmlformats.org/officeDocument/2006/relationships/hyperlink" Target="http://www.ioc-sealevelmonitoring.org/station.php?code=simr" TargetMode="External"/><Relationship Id="rId422" Type="http://schemas.openxmlformats.org/officeDocument/2006/relationships/hyperlink" Target="https://viva.sjofartsverket.se/station/207" TargetMode="External"/><Relationship Id="rId464" Type="http://schemas.openxmlformats.org/officeDocument/2006/relationships/hyperlink" Target="https://viva.sjofartsverket.se/station/204" TargetMode="External"/><Relationship Id="rId299" Type="http://schemas.openxmlformats.org/officeDocument/2006/relationships/hyperlink" Target="http://www.ioc-sealevelmonitoring.org/station.php?code=spik" TargetMode="External"/><Relationship Id="rId727" Type="http://schemas.openxmlformats.org/officeDocument/2006/relationships/hyperlink" Target="https://viva.sjofartsverket.se/station/83" TargetMode="External"/><Relationship Id="rId63" Type="http://schemas.openxmlformats.org/officeDocument/2006/relationships/hyperlink" Target="https://www.psmsl.org/data/obtaining/stations/2109.php" TargetMode="External"/><Relationship Id="rId159" Type="http://schemas.openxmlformats.org/officeDocument/2006/relationships/hyperlink" Target="http://www.ioc-sealevelmonitoring.org/station.php?code=brof" TargetMode="External"/><Relationship Id="rId366" Type="http://schemas.openxmlformats.org/officeDocument/2006/relationships/hyperlink" Target="https://www.psmsl.org/data/obtaining/stations/1236.php" TargetMode="External"/><Relationship Id="rId573" Type="http://schemas.openxmlformats.org/officeDocument/2006/relationships/hyperlink" Target="https://viva.sjofartsverket.se/station/64" TargetMode="External"/><Relationship Id="rId780" Type="http://schemas.openxmlformats.org/officeDocument/2006/relationships/hyperlink" Target="https://viva.sjofartsverket.se/station/7" TargetMode="External"/><Relationship Id="rId226" Type="http://schemas.openxmlformats.org/officeDocument/2006/relationships/hyperlink" Target="http://www.ioc-sealevelmonitoring.org/station.php?code=varb" TargetMode="External"/><Relationship Id="rId433" Type="http://schemas.openxmlformats.org/officeDocument/2006/relationships/hyperlink" Target="http://www.ioc-sealevelmonitoring.org/station.php?code=ysta" TargetMode="External"/><Relationship Id="rId640" Type="http://schemas.openxmlformats.org/officeDocument/2006/relationships/hyperlink" Target="https://viva.sjofartsverket.se/station/179" TargetMode="External"/><Relationship Id="rId738" Type="http://schemas.openxmlformats.org/officeDocument/2006/relationships/hyperlink" Target="https://viva.sjofartsverket.se/station/80" TargetMode="External"/><Relationship Id="rId74" Type="http://schemas.openxmlformats.org/officeDocument/2006/relationships/hyperlink" Target="https://www.psmsl.org/data/obtaining/stations/203.php" TargetMode="External"/><Relationship Id="rId377" Type="http://schemas.openxmlformats.org/officeDocument/2006/relationships/hyperlink" Target="http://www.ioc-sealevelmonitoring.org/station.php?code=karl" TargetMode="External"/><Relationship Id="rId500" Type="http://schemas.openxmlformats.org/officeDocument/2006/relationships/hyperlink" Target="https://viva.sjofartsverket.se/station/84" TargetMode="External"/><Relationship Id="rId584" Type="http://schemas.openxmlformats.org/officeDocument/2006/relationships/hyperlink" Target="https://viva.sjofartsverket.se/station/60" TargetMode="External"/><Relationship Id="rId805" Type="http://schemas.openxmlformats.org/officeDocument/2006/relationships/hyperlink" Target="https://viva.sjofartsverket.se/station/86" TargetMode="External"/><Relationship Id="rId5" Type="http://schemas.openxmlformats.org/officeDocument/2006/relationships/hyperlink" Target="http://www.ioc-sealevelmonitoring.org/station.php?code=goer" TargetMode="External"/><Relationship Id="rId237" Type="http://schemas.openxmlformats.org/officeDocument/2006/relationships/hyperlink" Target="http://www.ioc-sealevelmonitoring.org/station.php?code=spik" TargetMode="External"/><Relationship Id="rId791" Type="http://schemas.openxmlformats.org/officeDocument/2006/relationships/hyperlink" Target="https://viva.sjofartsverket.se/station/130" TargetMode="External"/><Relationship Id="rId444" Type="http://schemas.openxmlformats.org/officeDocument/2006/relationships/hyperlink" Target="http://www.ioc-sealevelmonitoring.org/station.php?code=spik" TargetMode="External"/><Relationship Id="rId651" Type="http://schemas.openxmlformats.org/officeDocument/2006/relationships/hyperlink" Target="https://viva.sjofartsverket.se/station/185" TargetMode="External"/><Relationship Id="rId749" Type="http://schemas.openxmlformats.org/officeDocument/2006/relationships/hyperlink" Target="https://viva.sjofartsverket.se/station/75" TargetMode="External"/><Relationship Id="rId290" Type="http://schemas.openxmlformats.org/officeDocument/2006/relationships/hyperlink" Target="http://www.ioc-sealevelmonitoring.org/station.php?code=kalm" TargetMode="External"/><Relationship Id="rId304" Type="http://schemas.openxmlformats.org/officeDocument/2006/relationships/hyperlink" Target="https://www.psmsl.org/data/obtaining/stations/78.php" TargetMode="External"/><Relationship Id="rId388" Type="http://schemas.openxmlformats.org/officeDocument/2006/relationships/hyperlink" Target="http://www.ioc-sealevelmonitoring.org/station.php?code=stens" TargetMode="External"/><Relationship Id="rId511" Type="http://schemas.openxmlformats.org/officeDocument/2006/relationships/hyperlink" Target="https://viva.sjofartsverket.se/station/163" TargetMode="External"/><Relationship Id="rId609" Type="http://schemas.openxmlformats.org/officeDocument/2006/relationships/hyperlink" Target="https://viva.sjofartsverket.se/station/43" TargetMode="External"/><Relationship Id="rId85" Type="http://schemas.openxmlformats.org/officeDocument/2006/relationships/hyperlink" Target="https://www.psmsl.org/data/obtaining/stations/70.php" TargetMode="External"/><Relationship Id="rId150" Type="http://schemas.openxmlformats.org/officeDocument/2006/relationships/hyperlink" Target="https://www.psmsl.org/data/obtaining/stations/2331.php" TargetMode="External"/><Relationship Id="rId595" Type="http://schemas.openxmlformats.org/officeDocument/2006/relationships/hyperlink" Target="https://viva.sjofartsverket.se/station/40" TargetMode="External"/><Relationship Id="rId816" Type="http://schemas.openxmlformats.org/officeDocument/2006/relationships/hyperlink" Target="https://viva.sjofartsverket.se/station/31" TargetMode="External"/><Relationship Id="rId248" Type="http://schemas.openxmlformats.org/officeDocument/2006/relationships/hyperlink" Target="http://www.ioc-sealevelmonitoring.org/station.php?code=oxel" TargetMode="External"/><Relationship Id="rId455" Type="http://schemas.openxmlformats.org/officeDocument/2006/relationships/hyperlink" Target="https://viva.sjofartsverket.se/station/159" TargetMode="External"/><Relationship Id="rId662" Type="http://schemas.openxmlformats.org/officeDocument/2006/relationships/hyperlink" Target="https://viva.sjofartsverket.se/station/212" TargetMode="External"/><Relationship Id="rId12" Type="http://schemas.openxmlformats.org/officeDocument/2006/relationships/hyperlink" Target="http://www.ioc-sealevelmonitoring.org/station.php?code=arko" TargetMode="External"/><Relationship Id="rId108" Type="http://schemas.openxmlformats.org/officeDocument/2006/relationships/hyperlink" Target="https://www.psmsl.org/data/obtaining/stations/2106.php" TargetMode="External"/><Relationship Id="rId315" Type="http://schemas.openxmlformats.org/officeDocument/2006/relationships/hyperlink" Target="http://www.ioc-sealevelmonitoring.org/station.php?code=kaka" TargetMode="External"/><Relationship Id="rId522" Type="http://schemas.openxmlformats.org/officeDocument/2006/relationships/hyperlink" Target="https://viva.sjofartsverket.se/station/184" TargetMode="External"/><Relationship Id="rId96" Type="http://schemas.openxmlformats.org/officeDocument/2006/relationships/hyperlink" Target="https://www.psmsl.org/data/obtaining/stations/2105.php" TargetMode="External"/><Relationship Id="rId161" Type="http://schemas.openxmlformats.org/officeDocument/2006/relationships/hyperlink" Target="http://www.ioc-sealevelmonitoring.org/station.php?code=e4bs" TargetMode="External"/><Relationship Id="rId399" Type="http://schemas.openxmlformats.org/officeDocument/2006/relationships/hyperlink" Target="https://www.psmsl.org/data/obtaining/stations/99.php" TargetMode="External"/><Relationship Id="rId827" Type="http://schemas.openxmlformats.org/officeDocument/2006/relationships/hyperlink" Target="https://viva.sjofartsverket.se/station/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405"/>
  <sheetViews>
    <sheetView tabSelected="1" workbookViewId="0">
      <pane xSplit="4" ySplit="1" topLeftCell="E1376" activePane="bottomRight" state="frozen"/>
      <selection pane="topRight" activeCell="E1" sqref="E1"/>
      <selection pane="bottomLeft" activeCell="A2" sqref="A2"/>
      <selection pane="bottomRight" activeCell="D1397" sqref="D1397"/>
    </sheetView>
  </sheetViews>
  <sheetFormatPr defaultColWidth="8.85546875" defaultRowHeight="15" x14ac:dyDescent="0.25"/>
  <cols>
    <col min="1" max="1" width="10.85546875" style="9" bestFit="1" customWidth="1"/>
    <col min="2" max="2" width="10.85546875" style="140" bestFit="1" customWidth="1"/>
    <col min="3" max="3" width="29" style="9" bestFit="1" customWidth="1"/>
    <col min="4" max="4" width="35.85546875" style="9" bestFit="1" customWidth="1"/>
    <col min="5" max="6" width="15.42578125" style="3" bestFit="1" customWidth="1"/>
    <col min="7" max="7" width="11.5703125" style="3" bestFit="1" customWidth="1"/>
    <col min="8" max="8" width="15.42578125" style="4" bestFit="1" customWidth="1"/>
    <col min="9" max="9" width="40.7109375" style="5" bestFit="1" customWidth="1"/>
    <col min="10" max="10" width="19.140625" style="5" bestFit="1" customWidth="1"/>
    <col min="11" max="11" width="11.28515625" style="6" bestFit="1" customWidth="1"/>
    <col min="12" max="12" width="49.42578125" style="7" bestFit="1" customWidth="1"/>
    <col min="13" max="13" width="18.140625" style="7" bestFit="1" customWidth="1"/>
    <col min="14" max="14" width="15.7109375" style="19" bestFit="1" customWidth="1"/>
    <col min="15" max="16" width="15.7109375" style="19" customWidth="1"/>
    <col min="17" max="17" width="10.85546875" style="19" bestFit="1" customWidth="1"/>
    <col min="18" max="18" width="12.28515625" style="19" bestFit="1" customWidth="1"/>
    <col min="19" max="19" width="12.140625" style="19" bestFit="1" customWidth="1"/>
    <col min="20" max="20" width="14.140625" style="19" bestFit="1" customWidth="1"/>
    <col min="21" max="21" width="8.5703125" style="19" bestFit="1" customWidth="1"/>
    <col min="22" max="53" width="6.7109375" style="19" customWidth="1"/>
    <col min="54" max="54" width="7.7109375" style="9" bestFit="1" customWidth="1"/>
    <col min="55" max="55" width="8.5703125" style="9" bestFit="1" customWidth="1"/>
    <col min="56" max="56" width="7.28515625" style="9" bestFit="1" customWidth="1"/>
    <col min="57" max="57" width="8.5703125" style="9" bestFit="1" customWidth="1"/>
    <col min="58" max="16384" width="8.85546875" style="9"/>
  </cols>
  <sheetData>
    <row r="1" spans="1:57" ht="30" x14ac:dyDescent="0.25">
      <c r="A1" s="11" t="s">
        <v>705</v>
      </c>
      <c r="B1" s="134" t="s">
        <v>0</v>
      </c>
      <c r="C1" s="11" t="s">
        <v>833</v>
      </c>
      <c r="D1" s="11" t="s">
        <v>3041</v>
      </c>
      <c r="E1" s="12" t="s">
        <v>1</v>
      </c>
      <c r="F1" s="12" t="s">
        <v>2</v>
      </c>
      <c r="G1" s="12" t="s">
        <v>960</v>
      </c>
      <c r="H1" s="11" t="s">
        <v>158</v>
      </c>
      <c r="I1" s="13" t="s">
        <v>3</v>
      </c>
      <c r="J1" s="13" t="s">
        <v>2359</v>
      </c>
      <c r="K1" s="11" t="s">
        <v>147</v>
      </c>
      <c r="L1" s="13" t="s">
        <v>146</v>
      </c>
      <c r="M1" s="13" t="s">
        <v>876</v>
      </c>
      <c r="N1" s="15" t="s">
        <v>1099</v>
      </c>
      <c r="O1" s="15" t="s">
        <v>2734</v>
      </c>
      <c r="P1" s="15" t="s">
        <v>2735</v>
      </c>
      <c r="Q1" s="16" t="s">
        <v>1104</v>
      </c>
      <c r="R1" s="16" t="s">
        <v>1094</v>
      </c>
      <c r="S1" s="16" t="s">
        <v>1095</v>
      </c>
      <c r="T1" s="16" t="s">
        <v>1096</v>
      </c>
      <c r="U1" s="17" t="s">
        <v>177</v>
      </c>
      <c r="V1" s="18" t="s">
        <v>2030</v>
      </c>
      <c r="W1" s="18" t="s">
        <v>2037</v>
      </c>
      <c r="X1" s="18" t="s">
        <v>2027</v>
      </c>
      <c r="Y1" s="18" t="s">
        <v>2038</v>
      </c>
      <c r="Z1" s="18" t="s">
        <v>2035</v>
      </c>
      <c r="AA1" s="18" t="s">
        <v>2039</v>
      </c>
      <c r="AB1" s="18" t="s">
        <v>2034</v>
      </c>
      <c r="AC1" s="18" t="s">
        <v>2458</v>
      </c>
      <c r="AD1" s="18" t="s">
        <v>2461</v>
      </c>
      <c r="AE1" s="18" t="s">
        <v>2462</v>
      </c>
      <c r="AF1" s="18" t="s">
        <v>2025</v>
      </c>
      <c r="AG1" s="18" t="s">
        <v>2459</v>
      </c>
      <c r="AH1" s="18" t="s">
        <v>2029</v>
      </c>
      <c r="AI1" s="18" t="s">
        <v>2460</v>
      </c>
      <c r="AJ1" s="18" t="s">
        <v>2463</v>
      </c>
      <c r="AK1" s="18" t="s">
        <v>2464</v>
      </c>
      <c r="AL1" s="18" t="s">
        <v>2045</v>
      </c>
      <c r="AM1" s="18" t="s">
        <v>2065</v>
      </c>
      <c r="AN1" s="17" t="s">
        <v>2044</v>
      </c>
      <c r="AO1" s="17" t="s">
        <v>2066</v>
      </c>
      <c r="AP1" s="17" t="s">
        <v>2036</v>
      </c>
      <c r="AQ1" s="17" t="s">
        <v>2040</v>
      </c>
      <c r="AR1" s="17" t="s">
        <v>2043</v>
      </c>
      <c r="AS1" s="17" t="s">
        <v>2067</v>
      </c>
      <c r="AT1" s="17" t="s">
        <v>2028</v>
      </c>
      <c r="AU1" s="17" t="s">
        <v>2705</v>
      </c>
      <c r="AV1" s="17" t="s">
        <v>174</v>
      </c>
      <c r="AW1" s="17" t="s">
        <v>1697</v>
      </c>
      <c r="AX1" s="17" t="s">
        <v>175</v>
      </c>
      <c r="AY1" s="17" t="s">
        <v>1698</v>
      </c>
      <c r="AZ1" s="17" t="s">
        <v>2041</v>
      </c>
      <c r="BA1" s="17" t="s">
        <v>2042</v>
      </c>
      <c r="BB1" s="17" t="s">
        <v>2673</v>
      </c>
      <c r="BC1" s="17" t="s">
        <v>2678</v>
      </c>
      <c r="BD1" s="17" t="s">
        <v>2675</v>
      </c>
      <c r="BE1" s="17" t="s">
        <v>2679</v>
      </c>
    </row>
    <row r="2" spans="1:57" s="85" customFormat="1" x14ac:dyDescent="0.25">
      <c r="A2" s="9" t="s">
        <v>8</v>
      </c>
      <c r="B2" s="27">
        <v>37340</v>
      </c>
      <c r="C2" s="28" t="s">
        <v>1874</v>
      </c>
      <c r="D2" s="28" t="s">
        <v>1796</v>
      </c>
      <c r="E2" s="25">
        <v>57.6</v>
      </c>
      <c r="F2" s="25">
        <v>11.6333</v>
      </c>
      <c r="G2" s="3"/>
      <c r="H2" s="9" t="s">
        <v>150</v>
      </c>
      <c r="I2" s="6" t="s">
        <v>8</v>
      </c>
      <c r="J2" s="21" t="s">
        <v>8</v>
      </c>
      <c r="K2" s="6" t="s">
        <v>2455</v>
      </c>
      <c r="L2" s="7" t="s">
        <v>2027</v>
      </c>
      <c r="M2" s="28" t="s">
        <v>717</v>
      </c>
      <c r="N2" s="19" t="s">
        <v>2596</v>
      </c>
      <c r="O2" s="19"/>
      <c r="P2" s="19"/>
      <c r="Q2" s="19"/>
      <c r="R2" s="19"/>
      <c r="S2" s="19"/>
      <c r="T2" s="19"/>
      <c r="U2" s="19"/>
      <c r="V2" s="19"/>
      <c r="W2" s="19"/>
      <c r="X2" s="19" t="s">
        <v>160</v>
      </c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7"/>
      <c r="BB2" s="7"/>
      <c r="BC2" s="7"/>
      <c r="BD2" s="7"/>
      <c r="BE2" s="7"/>
    </row>
    <row r="3" spans="1:57" s="85" customFormat="1" x14ac:dyDescent="0.25">
      <c r="A3" s="9" t="s">
        <v>8</v>
      </c>
      <c r="B3" s="27">
        <v>37341</v>
      </c>
      <c r="C3" s="28" t="s">
        <v>1875</v>
      </c>
      <c r="D3" s="28" t="s">
        <v>1797</v>
      </c>
      <c r="E3" s="25">
        <v>57.533299999999997</v>
      </c>
      <c r="F3" s="25">
        <v>11.333299999999999</v>
      </c>
      <c r="G3" s="3"/>
      <c r="H3" s="9" t="s">
        <v>150</v>
      </c>
      <c r="I3" s="6" t="s">
        <v>8</v>
      </c>
      <c r="J3" s="21" t="s">
        <v>8</v>
      </c>
      <c r="K3" s="6" t="s">
        <v>2455</v>
      </c>
      <c r="L3" s="7" t="s">
        <v>2027</v>
      </c>
      <c r="M3" s="28" t="s">
        <v>717</v>
      </c>
      <c r="N3" s="19" t="s">
        <v>2596</v>
      </c>
      <c r="O3" s="19"/>
      <c r="P3" s="19"/>
      <c r="Q3" s="19"/>
      <c r="R3" s="19"/>
      <c r="S3" s="19"/>
      <c r="T3" s="19"/>
      <c r="U3" s="19"/>
      <c r="V3" s="19"/>
      <c r="W3" s="19"/>
      <c r="X3" s="19" t="s">
        <v>160</v>
      </c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7"/>
      <c r="BB3" s="7"/>
      <c r="BC3" s="7"/>
      <c r="BD3" s="7"/>
      <c r="BE3" s="7"/>
    </row>
    <row r="4" spans="1:57" s="85" customFormat="1" x14ac:dyDescent="0.25">
      <c r="A4" s="9" t="s">
        <v>8</v>
      </c>
      <c r="B4" s="27">
        <v>37342</v>
      </c>
      <c r="C4" s="28" t="s">
        <v>1876</v>
      </c>
      <c r="D4" s="28" t="s">
        <v>1798</v>
      </c>
      <c r="E4" s="25">
        <v>57.466700000000003</v>
      </c>
      <c r="F4" s="25">
        <v>10.8667</v>
      </c>
      <c r="G4" s="3"/>
      <c r="H4" s="9" t="s">
        <v>150</v>
      </c>
      <c r="I4" s="6" t="s">
        <v>8</v>
      </c>
      <c r="J4" s="21" t="s">
        <v>8</v>
      </c>
      <c r="K4" s="6" t="s">
        <v>2455</v>
      </c>
      <c r="L4" s="7" t="s">
        <v>2027</v>
      </c>
      <c r="M4" s="28" t="s">
        <v>717</v>
      </c>
      <c r="N4" s="19" t="s">
        <v>2596</v>
      </c>
      <c r="O4" s="19"/>
      <c r="P4" s="19"/>
      <c r="Q4" s="19"/>
      <c r="R4" s="19"/>
      <c r="S4" s="19"/>
      <c r="T4" s="19"/>
      <c r="U4" s="19"/>
      <c r="V4" s="19"/>
      <c r="W4" s="19"/>
      <c r="X4" s="19" t="s">
        <v>160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7"/>
      <c r="BB4" s="7"/>
      <c r="BC4" s="7"/>
      <c r="BD4" s="7"/>
      <c r="BE4" s="7"/>
    </row>
    <row r="5" spans="1:57" s="90" customFormat="1" x14ac:dyDescent="0.25">
      <c r="A5" s="32" t="s">
        <v>707</v>
      </c>
      <c r="B5" s="33"/>
      <c r="C5" s="34" t="s">
        <v>949</v>
      </c>
      <c r="D5" s="33" t="s">
        <v>950</v>
      </c>
      <c r="E5" s="35"/>
      <c r="F5" s="35"/>
      <c r="G5" s="33"/>
      <c r="H5" s="36" t="s">
        <v>151</v>
      </c>
      <c r="I5" s="24" t="s">
        <v>4</v>
      </c>
      <c r="J5" s="36" t="s">
        <v>4</v>
      </c>
      <c r="K5" s="36" t="s">
        <v>5</v>
      </c>
      <c r="L5" s="36" t="s">
        <v>2043</v>
      </c>
      <c r="M5" s="33" t="s">
        <v>2653</v>
      </c>
      <c r="N5" s="37" t="s">
        <v>2303</v>
      </c>
      <c r="O5" s="37"/>
      <c r="P5" s="37" t="s">
        <v>160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 t="s">
        <v>160</v>
      </c>
      <c r="AS5" s="37" t="s">
        <v>160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</row>
    <row r="6" spans="1:57" s="87" customFormat="1" x14ac:dyDescent="0.25">
      <c r="A6" s="114" t="s">
        <v>2773</v>
      </c>
      <c r="B6" s="94" t="s">
        <v>2844</v>
      </c>
      <c r="C6" s="94" t="s">
        <v>949</v>
      </c>
      <c r="D6" s="100" t="s">
        <v>950</v>
      </c>
      <c r="E6" s="101">
        <f>59+21/60+28.44/3600</f>
        <v>59.357900000000001</v>
      </c>
      <c r="F6" s="101">
        <f>17+31/60+16.68/3600</f>
        <v>17.5213</v>
      </c>
      <c r="G6" s="94">
        <v>5.6120000000000001</v>
      </c>
      <c r="H6" s="94" t="s">
        <v>151</v>
      </c>
      <c r="I6" s="122" t="s">
        <v>8</v>
      </c>
      <c r="J6" s="122" t="s">
        <v>8</v>
      </c>
      <c r="K6" s="82" t="s">
        <v>5</v>
      </c>
      <c r="L6" s="93" t="s">
        <v>2681</v>
      </c>
      <c r="M6" s="105" t="s">
        <v>2653</v>
      </c>
      <c r="N6" s="108" t="s">
        <v>2303</v>
      </c>
      <c r="O6" s="108"/>
      <c r="P6" s="108" t="s">
        <v>160</v>
      </c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 t="s">
        <v>160</v>
      </c>
      <c r="AS6" s="108" t="s">
        <v>160</v>
      </c>
      <c r="AT6" s="108" t="s">
        <v>160</v>
      </c>
      <c r="AU6" s="108" t="s">
        <v>160</v>
      </c>
      <c r="AV6" s="108"/>
      <c r="AW6" s="108"/>
      <c r="AX6" s="108" t="s">
        <v>160</v>
      </c>
      <c r="AY6" s="108" t="s">
        <v>160</v>
      </c>
      <c r="AZ6" s="108" t="s">
        <v>160</v>
      </c>
      <c r="BA6" s="108" t="s">
        <v>160</v>
      </c>
      <c r="BB6" s="108"/>
      <c r="BC6" s="108"/>
      <c r="BD6" s="108"/>
      <c r="BE6" s="108"/>
    </row>
    <row r="7" spans="1:57" s="53" customFormat="1" x14ac:dyDescent="0.25">
      <c r="A7" s="6" t="s">
        <v>8</v>
      </c>
      <c r="B7" s="9">
        <v>97280</v>
      </c>
      <c r="C7" s="9" t="s">
        <v>949</v>
      </c>
      <c r="D7" s="9" t="s">
        <v>950</v>
      </c>
      <c r="E7" s="30">
        <f>59+21/60+28.44/3600</f>
        <v>59.357900000000001</v>
      </c>
      <c r="F7" s="30">
        <f>17+31/60+16.68/3600</f>
        <v>17.5213</v>
      </c>
      <c r="G7" s="9">
        <v>5.6120000000000001</v>
      </c>
      <c r="H7" s="9" t="s">
        <v>151</v>
      </c>
      <c r="I7" s="21" t="s">
        <v>8</v>
      </c>
      <c r="J7" s="21" t="s">
        <v>8</v>
      </c>
      <c r="K7" s="3" t="s">
        <v>5</v>
      </c>
      <c r="L7" s="5" t="s">
        <v>2681</v>
      </c>
      <c r="M7" s="7" t="s">
        <v>2653</v>
      </c>
      <c r="N7" s="19" t="s">
        <v>2303</v>
      </c>
      <c r="O7" s="19"/>
      <c r="P7" s="19" t="s">
        <v>160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 t="s">
        <v>160</v>
      </c>
      <c r="AS7" s="19" t="s">
        <v>160</v>
      </c>
      <c r="AT7" s="19" t="s">
        <v>160</v>
      </c>
      <c r="AU7" s="19" t="s">
        <v>160</v>
      </c>
      <c r="AV7" s="19"/>
      <c r="AW7" s="19"/>
      <c r="AX7" s="19" t="s">
        <v>160</v>
      </c>
      <c r="AY7" s="19" t="s">
        <v>160</v>
      </c>
      <c r="AZ7" s="19" t="s">
        <v>160</v>
      </c>
      <c r="BA7" s="19" t="s">
        <v>160</v>
      </c>
      <c r="BB7" s="19"/>
      <c r="BC7" s="19"/>
      <c r="BD7" s="19"/>
      <c r="BE7" s="19"/>
    </row>
    <row r="8" spans="1:57" s="85" customFormat="1" x14ac:dyDescent="0.25">
      <c r="A8" s="10" t="s">
        <v>706</v>
      </c>
      <c r="B8" s="26">
        <v>207</v>
      </c>
      <c r="C8" s="26" t="s">
        <v>949</v>
      </c>
      <c r="D8" s="31" t="s">
        <v>156</v>
      </c>
      <c r="E8" s="47">
        <v>57.72</v>
      </c>
      <c r="F8" s="47">
        <v>11.97</v>
      </c>
      <c r="G8" s="30"/>
      <c r="H8" s="10" t="s">
        <v>151</v>
      </c>
      <c r="I8" s="24" t="s">
        <v>4</v>
      </c>
      <c r="J8" s="24" t="s">
        <v>4</v>
      </c>
      <c r="K8" s="10" t="s">
        <v>5</v>
      </c>
      <c r="L8" s="24" t="s">
        <v>2043</v>
      </c>
      <c r="M8" s="24" t="s">
        <v>2653</v>
      </c>
      <c r="N8" s="20" t="s">
        <v>2303</v>
      </c>
      <c r="O8" s="20"/>
      <c r="P8" s="20" t="s">
        <v>160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 t="s">
        <v>160</v>
      </c>
      <c r="AS8" s="20" t="s">
        <v>160</v>
      </c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</row>
    <row r="9" spans="1:57" s="85" customFormat="1" x14ac:dyDescent="0.25">
      <c r="A9" s="9" t="s">
        <v>8</v>
      </c>
      <c r="B9" s="27">
        <v>37128</v>
      </c>
      <c r="C9" s="28" t="s">
        <v>2247</v>
      </c>
      <c r="D9" s="28" t="s">
        <v>1361</v>
      </c>
      <c r="E9" s="25">
        <v>61.55</v>
      </c>
      <c r="F9" s="25">
        <v>17.466699999999999</v>
      </c>
      <c r="G9" s="3"/>
      <c r="H9" s="9" t="s">
        <v>150</v>
      </c>
      <c r="I9" s="6" t="s">
        <v>8</v>
      </c>
      <c r="J9" s="21" t="s">
        <v>8</v>
      </c>
      <c r="K9" s="6" t="s">
        <v>2455</v>
      </c>
      <c r="L9" s="7" t="s">
        <v>2027</v>
      </c>
      <c r="M9" s="28" t="s">
        <v>717</v>
      </c>
      <c r="N9" s="19" t="s">
        <v>1821</v>
      </c>
      <c r="O9" s="19"/>
      <c r="P9" s="19"/>
      <c r="Q9" s="19"/>
      <c r="R9" s="19"/>
      <c r="S9" s="19"/>
      <c r="T9" s="19"/>
      <c r="U9" s="19"/>
      <c r="V9" s="19"/>
      <c r="W9" s="19"/>
      <c r="X9" s="19" t="s">
        <v>160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7"/>
      <c r="BB9" s="7"/>
      <c r="BC9" s="7"/>
      <c r="BD9" s="7"/>
      <c r="BE9" s="7"/>
    </row>
    <row r="10" spans="1:57" s="85" customFormat="1" x14ac:dyDescent="0.25">
      <c r="A10" s="6" t="s">
        <v>8</v>
      </c>
      <c r="B10" s="9">
        <v>117330</v>
      </c>
      <c r="C10" s="9" t="s">
        <v>2246</v>
      </c>
      <c r="D10" s="9" t="s">
        <v>1361</v>
      </c>
      <c r="E10" s="3">
        <v>61.55</v>
      </c>
      <c r="F10" s="3">
        <v>17.4666</v>
      </c>
      <c r="G10" s="9">
        <v>20</v>
      </c>
      <c r="H10" s="9" t="s">
        <v>150</v>
      </c>
      <c r="I10" s="6" t="s">
        <v>8</v>
      </c>
      <c r="J10" s="21" t="s">
        <v>8</v>
      </c>
      <c r="K10" s="3" t="s">
        <v>5</v>
      </c>
      <c r="L10" s="5" t="s">
        <v>2681</v>
      </c>
      <c r="M10" s="7" t="s">
        <v>717</v>
      </c>
      <c r="N10" s="19" t="s">
        <v>2304</v>
      </c>
      <c r="O10" s="19"/>
      <c r="P10" s="19" t="s">
        <v>160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 t="s">
        <v>160</v>
      </c>
      <c r="AS10" s="19"/>
      <c r="AT10" s="19" t="s">
        <v>160</v>
      </c>
      <c r="AU10" s="19"/>
      <c r="AV10" s="19"/>
      <c r="AW10" s="19"/>
      <c r="AX10" s="19" t="s">
        <v>160</v>
      </c>
      <c r="AY10" s="19"/>
      <c r="AZ10" s="19" t="s">
        <v>160</v>
      </c>
      <c r="BA10" s="19"/>
      <c r="BB10" s="19"/>
      <c r="BC10" s="19"/>
      <c r="BD10" s="19"/>
      <c r="BE10" s="19"/>
    </row>
    <row r="11" spans="1:57" s="87" customFormat="1" x14ac:dyDescent="0.25">
      <c r="A11" s="98" t="s">
        <v>2773</v>
      </c>
      <c r="B11" s="135">
        <v>2543</v>
      </c>
      <c r="C11" s="99" t="s">
        <v>969</v>
      </c>
      <c r="D11" s="184" t="s">
        <v>1579</v>
      </c>
      <c r="E11" s="150">
        <f>55+55/60+40.872/3600</f>
        <v>55.928019999999997</v>
      </c>
      <c r="F11" s="150">
        <f>14+19/60+42.06/3600</f>
        <v>14.32835</v>
      </c>
      <c r="G11" s="101"/>
      <c r="H11" s="102" t="s">
        <v>150</v>
      </c>
      <c r="I11" s="102" t="s">
        <v>8</v>
      </c>
      <c r="J11" s="102" t="s">
        <v>8</v>
      </c>
      <c r="K11" s="98" t="s">
        <v>6</v>
      </c>
      <c r="L11" s="102" t="s">
        <v>2030</v>
      </c>
      <c r="M11" s="102" t="s">
        <v>717</v>
      </c>
      <c r="N11" s="103" t="s">
        <v>1103</v>
      </c>
      <c r="O11" s="103"/>
      <c r="P11" s="103"/>
      <c r="Q11" s="103" t="s">
        <v>1611</v>
      </c>
      <c r="R11" s="103"/>
      <c r="S11" s="103" t="s">
        <v>160</v>
      </c>
      <c r="T11" s="103" t="s">
        <v>160</v>
      </c>
      <c r="U11" s="103">
        <v>4</v>
      </c>
      <c r="V11" s="103" t="s">
        <v>160</v>
      </c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</row>
    <row r="12" spans="1:57" s="53" customFormat="1" x14ac:dyDescent="0.25">
      <c r="A12" s="10" t="s">
        <v>8</v>
      </c>
      <c r="B12" s="155">
        <v>2543</v>
      </c>
      <c r="C12" s="26" t="s">
        <v>969</v>
      </c>
      <c r="D12" t="s">
        <v>1579</v>
      </c>
      <c r="E12" s="193">
        <v>55.928400000000003</v>
      </c>
      <c r="F12" s="193">
        <v>14.3286</v>
      </c>
      <c r="G12" s="30"/>
      <c r="H12" s="24" t="s">
        <v>150</v>
      </c>
      <c r="I12" s="24" t="s">
        <v>8</v>
      </c>
      <c r="J12" s="24" t="s">
        <v>8</v>
      </c>
      <c r="K12" s="10" t="s">
        <v>6</v>
      </c>
      <c r="L12" s="24" t="s">
        <v>2030</v>
      </c>
      <c r="M12" s="24" t="s">
        <v>717</v>
      </c>
      <c r="N12" s="20" t="s">
        <v>1103</v>
      </c>
      <c r="O12" s="20"/>
      <c r="P12" s="20"/>
      <c r="Q12" s="20" t="s">
        <v>1611</v>
      </c>
      <c r="R12" s="20"/>
      <c r="S12" s="20" t="s">
        <v>160</v>
      </c>
      <c r="T12" s="20" t="s">
        <v>160</v>
      </c>
      <c r="U12" s="20">
        <v>4</v>
      </c>
      <c r="V12" s="20" t="s">
        <v>160</v>
      </c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s="87" customFormat="1" x14ac:dyDescent="0.25">
      <c r="A13" s="98" t="s">
        <v>2773</v>
      </c>
      <c r="B13" s="135">
        <v>2091</v>
      </c>
      <c r="C13" s="98" t="s">
        <v>1268</v>
      </c>
      <c r="D13" s="98" t="s">
        <v>970</v>
      </c>
      <c r="E13" s="189">
        <f>55+56/60</f>
        <v>55.93333333333333</v>
      </c>
      <c r="F13" s="189">
        <f>14+18/60</f>
        <v>14.3</v>
      </c>
      <c r="G13" s="101"/>
      <c r="H13" s="98" t="s">
        <v>150</v>
      </c>
      <c r="I13" s="98" t="s">
        <v>8</v>
      </c>
      <c r="J13" s="102" t="s">
        <v>8</v>
      </c>
      <c r="K13" s="98" t="s">
        <v>6</v>
      </c>
      <c r="L13" s="102" t="s">
        <v>2030</v>
      </c>
      <c r="M13" s="102" t="s">
        <v>717</v>
      </c>
      <c r="N13" s="104" t="s">
        <v>1310</v>
      </c>
      <c r="O13" s="104"/>
      <c r="P13" s="104"/>
      <c r="Q13" s="103" t="s">
        <v>1611</v>
      </c>
      <c r="R13" s="103"/>
      <c r="S13" s="103"/>
      <c r="T13" s="103"/>
      <c r="U13" s="104">
        <v>4</v>
      </c>
      <c r="V13" s="103" t="s">
        <v>160</v>
      </c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</row>
    <row r="14" spans="1:57" s="53" customFormat="1" x14ac:dyDescent="0.25">
      <c r="A14" s="10" t="s">
        <v>8</v>
      </c>
      <c r="B14" s="155">
        <v>2091</v>
      </c>
      <c r="C14" s="10" t="s">
        <v>1268</v>
      </c>
      <c r="D14" s="10" t="s">
        <v>970</v>
      </c>
      <c r="E14" s="195">
        <v>55.93</v>
      </c>
      <c r="F14" s="195">
        <v>14.33</v>
      </c>
      <c r="G14" s="30"/>
      <c r="H14" s="10" t="s">
        <v>150</v>
      </c>
      <c r="I14" s="10" t="s">
        <v>8</v>
      </c>
      <c r="J14" s="24" t="s">
        <v>8</v>
      </c>
      <c r="K14" s="10" t="s">
        <v>6</v>
      </c>
      <c r="L14" s="24" t="s">
        <v>2030</v>
      </c>
      <c r="M14" s="24" t="s">
        <v>717</v>
      </c>
      <c r="N14" s="22" t="s">
        <v>1310</v>
      </c>
      <c r="O14" s="22"/>
      <c r="P14" s="22"/>
      <c r="Q14" s="20" t="s">
        <v>1611</v>
      </c>
      <c r="R14" s="20"/>
      <c r="S14" s="20"/>
      <c r="T14" s="20"/>
      <c r="U14" s="22">
        <v>4</v>
      </c>
      <c r="V14" s="20" t="s">
        <v>160</v>
      </c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s="85" customFormat="1" x14ac:dyDescent="0.25">
      <c r="A15" s="9" t="s">
        <v>8</v>
      </c>
      <c r="B15" s="27">
        <v>37217</v>
      </c>
      <c r="C15" s="28" t="s">
        <v>1960</v>
      </c>
      <c r="D15" s="28" t="s">
        <v>970</v>
      </c>
      <c r="E15" s="25">
        <v>55.916699999999999</v>
      </c>
      <c r="F15" s="25">
        <v>14.416700000000001</v>
      </c>
      <c r="G15" s="3"/>
      <c r="H15" s="24" t="s">
        <v>150</v>
      </c>
      <c r="I15" s="24" t="s">
        <v>8</v>
      </c>
      <c r="J15" s="24" t="s">
        <v>8</v>
      </c>
      <c r="K15" s="6" t="s">
        <v>2455</v>
      </c>
      <c r="L15" s="7" t="s">
        <v>2027</v>
      </c>
      <c r="M15" s="28" t="s">
        <v>717</v>
      </c>
      <c r="N15" s="19" t="s">
        <v>1842</v>
      </c>
      <c r="O15" s="19"/>
      <c r="P15" s="19"/>
      <c r="Q15" s="19"/>
      <c r="R15" s="19"/>
      <c r="S15" s="19"/>
      <c r="T15" s="7"/>
      <c r="U15" s="19"/>
      <c r="V15" s="19"/>
      <c r="W15" s="19"/>
      <c r="X15" s="19" t="s">
        <v>160</v>
      </c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7"/>
      <c r="BB15" s="7"/>
      <c r="BC15" s="7"/>
      <c r="BD15" s="7"/>
      <c r="BE15" s="7"/>
    </row>
    <row r="16" spans="1:57" s="85" customFormat="1" x14ac:dyDescent="0.25">
      <c r="A16" s="6" t="s">
        <v>8</v>
      </c>
      <c r="B16" s="9">
        <v>83540</v>
      </c>
      <c r="C16" s="9" t="s">
        <v>2426</v>
      </c>
      <c r="D16" s="9" t="s">
        <v>1362</v>
      </c>
      <c r="E16" s="3">
        <v>58.898000000000003</v>
      </c>
      <c r="F16" s="3">
        <v>13.2517</v>
      </c>
      <c r="G16" s="9">
        <v>50</v>
      </c>
      <c r="H16" s="9" t="s">
        <v>148</v>
      </c>
      <c r="I16" s="6" t="s">
        <v>8</v>
      </c>
      <c r="J16" s="21" t="s">
        <v>8</v>
      </c>
      <c r="K16" s="3" t="s">
        <v>5</v>
      </c>
      <c r="L16" s="5" t="s">
        <v>2680</v>
      </c>
      <c r="M16" s="7" t="s">
        <v>717</v>
      </c>
      <c r="N16" s="19" t="s">
        <v>2305</v>
      </c>
      <c r="O16" s="19"/>
      <c r="P16" s="19" t="s">
        <v>160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 t="s">
        <v>160</v>
      </c>
      <c r="AS16" s="19"/>
      <c r="AT16" s="19" t="s">
        <v>160</v>
      </c>
      <c r="AU16" s="19"/>
      <c r="AV16" s="19" t="s">
        <v>160</v>
      </c>
      <c r="AW16" s="19"/>
      <c r="AX16" s="19" t="s">
        <v>160</v>
      </c>
      <c r="AY16" s="19"/>
      <c r="AZ16" s="19" t="s">
        <v>160</v>
      </c>
      <c r="BA16" s="19"/>
      <c r="BB16" s="19"/>
      <c r="BC16" s="19"/>
      <c r="BD16" s="19"/>
      <c r="BE16" s="19"/>
    </row>
    <row r="17" spans="1:57" s="85" customFormat="1" x14ac:dyDescent="0.25">
      <c r="A17" s="10" t="s">
        <v>707</v>
      </c>
      <c r="B17" s="48" t="s">
        <v>691</v>
      </c>
      <c r="C17" s="48" t="s">
        <v>883</v>
      </c>
      <c r="D17" s="49" t="s">
        <v>692</v>
      </c>
      <c r="E17" s="46" t="s">
        <v>2074</v>
      </c>
      <c r="F17" s="46" t="s">
        <v>2075</v>
      </c>
      <c r="G17" s="49"/>
      <c r="H17" s="10" t="s">
        <v>148</v>
      </c>
      <c r="I17" s="50" t="s">
        <v>169</v>
      </c>
      <c r="J17" s="50" t="s">
        <v>169</v>
      </c>
      <c r="K17" s="49" t="s">
        <v>5</v>
      </c>
      <c r="L17" s="50" t="s">
        <v>2041</v>
      </c>
      <c r="M17" s="24" t="s">
        <v>2653</v>
      </c>
      <c r="N17" s="20"/>
      <c r="O17" s="20"/>
      <c r="P17" s="20"/>
      <c r="Q17" s="20"/>
      <c r="R17" s="20"/>
      <c r="S17" s="20"/>
      <c r="T17" s="20"/>
      <c r="U17" s="20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0"/>
      <c r="AU17" s="20"/>
      <c r="AV17" s="20"/>
      <c r="AW17" s="20"/>
      <c r="AX17" s="20"/>
      <c r="AY17" s="20"/>
      <c r="AZ17" s="22" t="s">
        <v>160</v>
      </c>
      <c r="BA17" s="22" t="s">
        <v>160</v>
      </c>
      <c r="BB17" s="22"/>
      <c r="BC17" s="22"/>
      <c r="BD17" s="22"/>
      <c r="BE17" s="22"/>
    </row>
    <row r="18" spans="1:57" s="87" customFormat="1" x14ac:dyDescent="0.25">
      <c r="A18" s="152" t="s">
        <v>2773</v>
      </c>
      <c r="B18" s="110" t="s">
        <v>2843</v>
      </c>
      <c r="C18" s="110" t="s">
        <v>883</v>
      </c>
      <c r="D18" s="102" t="s">
        <v>790</v>
      </c>
      <c r="E18" s="101">
        <f>58+15.509/60</f>
        <v>58.258483333333331</v>
      </c>
      <c r="F18" s="101">
        <f>12+13.847/60</f>
        <v>12.230783333333333</v>
      </c>
      <c r="G18" s="84"/>
      <c r="H18" s="98" t="s">
        <v>148</v>
      </c>
      <c r="I18" s="102" t="s">
        <v>169</v>
      </c>
      <c r="J18" s="102" t="s">
        <v>169</v>
      </c>
      <c r="K18" s="102" t="s">
        <v>5</v>
      </c>
      <c r="L18" s="102" t="s">
        <v>2041</v>
      </c>
      <c r="M18" s="102" t="s">
        <v>2653</v>
      </c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 t="s">
        <v>160</v>
      </c>
      <c r="BA18" s="103" t="s">
        <v>160</v>
      </c>
      <c r="BB18" s="103"/>
      <c r="BC18" s="103"/>
      <c r="BD18" s="103"/>
      <c r="BE18" s="103"/>
    </row>
    <row r="19" spans="1:57" s="53" customFormat="1" x14ac:dyDescent="0.25">
      <c r="A19" s="154" t="s">
        <v>8</v>
      </c>
      <c r="B19" s="23">
        <v>35174</v>
      </c>
      <c r="C19" s="23" t="s">
        <v>883</v>
      </c>
      <c r="D19" s="24" t="s">
        <v>790</v>
      </c>
      <c r="E19" s="30">
        <f>58+15.509/60</f>
        <v>58.258483333333331</v>
      </c>
      <c r="F19" s="30">
        <f>12+13.847/60</f>
        <v>12.230783333333333</v>
      </c>
      <c r="G19" s="25"/>
      <c r="H19" s="10" t="s">
        <v>148</v>
      </c>
      <c r="I19" s="24" t="s">
        <v>169</v>
      </c>
      <c r="J19" s="24" t="s">
        <v>169</v>
      </c>
      <c r="K19" s="24" t="s">
        <v>5</v>
      </c>
      <c r="L19" s="24" t="s">
        <v>2041</v>
      </c>
      <c r="M19" s="24" t="s">
        <v>2653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 t="s">
        <v>160</v>
      </c>
      <c r="BA19" s="20" t="s">
        <v>160</v>
      </c>
      <c r="BB19" s="20"/>
      <c r="BC19" s="20"/>
      <c r="BD19" s="20"/>
      <c r="BE19" s="20"/>
    </row>
    <row r="20" spans="1:57" s="85" customFormat="1" x14ac:dyDescent="0.25">
      <c r="A20" s="9" t="s">
        <v>706</v>
      </c>
      <c r="B20" s="38">
        <v>95</v>
      </c>
      <c r="C20" s="39" t="s">
        <v>883</v>
      </c>
      <c r="D20" s="62" t="s">
        <v>143</v>
      </c>
      <c r="E20" s="3">
        <f>58+15/60+31/3600</f>
        <v>58.258611111111108</v>
      </c>
      <c r="F20" s="3">
        <f>12+13/60+51/3600</f>
        <v>12.230833333333333</v>
      </c>
      <c r="G20" s="3"/>
      <c r="H20" s="9" t="s">
        <v>148</v>
      </c>
      <c r="I20" s="7" t="s">
        <v>169</v>
      </c>
      <c r="J20" s="7" t="s">
        <v>169</v>
      </c>
      <c r="K20" s="9" t="s">
        <v>5</v>
      </c>
      <c r="L20" s="7" t="s">
        <v>2041</v>
      </c>
      <c r="M20" s="7" t="s">
        <v>2653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 t="s">
        <v>160</v>
      </c>
      <c r="BA20" s="19" t="s">
        <v>160</v>
      </c>
      <c r="BB20" s="19"/>
      <c r="BC20" s="19"/>
      <c r="BD20" s="19"/>
      <c r="BE20" s="19"/>
    </row>
    <row r="21" spans="1:57" s="85" customFormat="1" x14ac:dyDescent="0.25">
      <c r="A21" s="9" t="s">
        <v>707</v>
      </c>
      <c r="B21" s="39" t="s">
        <v>693</v>
      </c>
      <c r="C21" s="39" t="s">
        <v>933</v>
      </c>
      <c r="D21" s="40" t="s">
        <v>694</v>
      </c>
      <c r="E21" s="46" t="s">
        <v>2072</v>
      </c>
      <c r="F21" s="46" t="s">
        <v>2073</v>
      </c>
      <c r="G21" s="40"/>
      <c r="H21" s="9" t="s">
        <v>150</v>
      </c>
      <c r="I21" s="41" t="s">
        <v>169</v>
      </c>
      <c r="J21" s="41" t="s">
        <v>169</v>
      </c>
      <c r="K21" s="40" t="s">
        <v>5</v>
      </c>
      <c r="L21" s="41" t="s">
        <v>2043</v>
      </c>
      <c r="M21" s="7" t="s">
        <v>2653</v>
      </c>
      <c r="N21" s="19"/>
      <c r="O21" s="19"/>
      <c r="P21" s="19"/>
      <c r="Q21" s="19"/>
      <c r="R21" s="19"/>
      <c r="S21" s="19"/>
      <c r="T21" s="19"/>
      <c r="U21" s="19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 t="s">
        <v>160</v>
      </c>
      <c r="AS21" s="42" t="s">
        <v>160</v>
      </c>
      <c r="AT21" s="19"/>
      <c r="AU21" s="19"/>
      <c r="AV21" s="19"/>
      <c r="AW21" s="19"/>
      <c r="AX21" s="19"/>
      <c r="AY21" s="19"/>
      <c r="AZ21" s="42"/>
      <c r="BA21" s="42"/>
      <c r="BB21" s="42"/>
      <c r="BC21" s="42"/>
      <c r="BD21" s="42"/>
      <c r="BE21" s="42"/>
    </row>
    <row r="22" spans="1:57" s="87" customFormat="1" x14ac:dyDescent="0.25">
      <c r="A22" s="114" t="s">
        <v>2773</v>
      </c>
      <c r="B22" s="110" t="s">
        <v>3031</v>
      </c>
      <c r="C22" s="110" t="s">
        <v>933</v>
      </c>
      <c r="D22" s="153" t="s">
        <v>789</v>
      </c>
      <c r="E22" s="93">
        <f>59+40.932/60</f>
        <v>59.682200000000002</v>
      </c>
      <c r="F22" s="93">
        <f>18+58.986/60</f>
        <v>18.9831</v>
      </c>
      <c r="G22" s="93"/>
      <c r="H22" s="94" t="s">
        <v>150</v>
      </c>
      <c r="I22" s="102" t="s">
        <v>169</v>
      </c>
      <c r="J22" s="102" t="s">
        <v>169</v>
      </c>
      <c r="K22" s="102" t="s">
        <v>5</v>
      </c>
      <c r="L22" s="102" t="s">
        <v>2043</v>
      </c>
      <c r="M22" s="105" t="s">
        <v>2653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 t="s">
        <v>160</v>
      </c>
      <c r="AS22" s="108" t="s">
        <v>160</v>
      </c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</row>
    <row r="23" spans="1:57" s="85" customFormat="1" x14ac:dyDescent="0.25">
      <c r="A23" s="6" t="s">
        <v>8</v>
      </c>
      <c r="B23" s="23">
        <v>35130</v>
      </c>
      <c r="C23" s="23" t="s">
        <v>933</v>
      </c>
      <c r="D23" s="24" t="s">
        <v>789</v>
      </c>
      <c r="E23" s="5">
        <f>59+40.932/60</f>
        <v>59.682200000000002</v>
      </c>
      <c r="F23" s="5">
        <f>18+58.986/60</f>
        <v>18.9831</v>
      </c>
      <c r="G23" s="5"/>
      <c r="H23" s="9" t="s">
        <v>150</v>
      </c>
      <c r="I23" s="24" t="s">
        <v>169</v>
      </c>
      <c r="J23" s="24" t="s">
        <v>169</v>
      </c>
      <c r="K23" s="24" t="s">
        <v>5</v>
      </c>
      <c r="L23" s="24" t="s">
        <v>2043</v>
      </c>
      <c r="M23" s="7" t="s">
        <v>2653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 t="s">
        <v>160</v>
      </c>
      <c r="AS23" s="19" t="s">
        <v>160</v>
      </c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</row>
    <row r="24" spans="1:57" s="85" customFormat="1" x14ac:dyDescent="0.25">
      <c r="A24" s="9" t="s">
        <v>706</v>
      </c>
      <c r="B24" s="38">
        <v>96</v>
      </c>
      <c r="C24" s="38" t="s">
        <v>933</v>
      </c>
      <c r="D24" s="62" t="s">
        <v>2670</v>
      </c>
      <c r="E24" s="3">
        <f>59+40/60+56/3600</f>
        <v>59.682222222222222</v>
      </c>
      <c r="F24" s="3">
        <f>18+58/60+59/3600</f>
        <v>18.983055555555556</v>
      </c>
      <c r="G24" s="5"/>
      <c r="H24" s="9" t="s">
        <v>150</v>
      </c>
      <c r="I24" s="7" t="s">
        <v>169</v>
      </c>
      <c r="J24" s="7" t="s">
        <v>169</v>
      </c>
      <c r="K24" s="9" t="s">
        <v>5</v>
      </c>
      <c r="L24" s="7" t="s">
        <v>2043</v>
      </c>
      <c r="M24" s="7" t="s">
        <v>2653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 t="s">
        <v>160</v>
      </c>
      <c r="AS24" s="19" t="s">
        <v>160</v>
      </c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</row>
    <row r="25" spans="1:57" s="85" customFormat="1" x14ac:dyDescent="0.25">
      <c r="A25" s="9" t="s">
        <v>707</v>
      </c>
      <c r="B25" s="39">
        <v>100011227</v>
      </c>
      <c r="C25" s="39" t="s">
        <v>715</v>
      </c>
      <c r="D25" s="40" t="s">
        <v>187</v>
      </c>
      <c r="E25" s="46" t="s">
        <v>16</v>
      </c>
      <c r="F25" s="46" t="s">
        <v>16</v>
      </c>
      <c r="G25" s="40"/>
      <c r="H25" s="9" t="s">
        <v>168</v>
      </c>
      <c r="I25" s="41" t="s">
        <v>708</v>
      </c>
      <c r="J25" s="41" t="s">
        <v>8</v>
      </c>
      <c r="K25" s="40" t="s">
        <v>124</v>
      </c>
      <c r="L25" s="7" t="s">
        <v>2682</v>
      </c>
      <c r="M25" s="7" t="s">
        <v>2653</v>
      </c>
      <c r="N25" s="19" t="s">
        <v>1118</v>
      </c>
      <c r="O25" s="19" t="s">
        <v>160</v>
      </c>
      <c r="P25" s="19" t="s">
        <v>160</v>
      </c>
      <c r="Q25" s="19"/>
      <c r="R25" s="19"/>
      <c r="S25" s="19" t="s">
        <v>160</v>
      </c>
      <c r="T25" s="19" t="s">
        <v>160</v>
      </c>
      <c r="U25" s="19"/>
      <c r="V25" s="42"/>
      <c r="W25" s="42"/>
      <c r="X25" s="42" t="s">
        <v>160</v>
      </c>
      <c r="Y25" s="42" t="s">
        <v>160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 t="s">
        <v>160</v>
      </c>
      <c r="AS25" s="42" t="s">
        <v>160</v>
      </c>
      <c r="AT25" s="19" t="s">
        <v>160</v>
      </c>
      <c r="AU25" s="19" t="s">
        <v>160</v>
      </c>
      <c r="AV25" s="19" t="s">
        <v>160</v>
      </c>
      <c r="AW25" s="19" t="s">
        <v>160</v>
      </c>
      <c r="AX25" s="19" t="s">
        <v>160</v>
      </c>
      <c r="AY25" s="19" t="s">
        <v>160</v>
      </c>
      <c r="AZ25" s="42"/>
      <c r="BA25" s="42"/>
      <c r="BB25" s="42"/>
      <c r="BC25" s="42"/>
      <c r="BD25" s="42"/>
      <c r="BE25" s="42"/>
    </row>
    <row r="26" spans="1:57" s="87" customFormat="1" x14ac:dyDescent="0.25">
      <c r="A26" s="114" t="s">
        <v>2773</v>
      </c>
      <c r="B26" s="99" t="s">
        <v>2959</v>
      </c>
      <c r="C26" s="99" t="s">
        <v>715</v>
      </c>
      <c r="D26" s="153" t="s">
        <v>7</v>
      </c>
      <c r="E26" s="84" t="s">
        <v>16</v>
      </c>
      <c r="F26" s="84" t="s">
        <v>16</v>
      </c>
      <c r="G26" s="84"/>
      <c r="H26" s="94" t="s">
        <v>168</v>
      </c>
      <c r="I26" s="113" t="s">
        <v>708</v>
      </c>
      <c r="J26" s="113" t="s">
        <v>8</v>
      </c>
      <c r="K26" s="98" t="s">
        <v>124</v>
      </c>
      <c r="L26" s="102" t="s">
        <v>2682</v>
      </c>
      <c r="M26" s="105" t="s">
        <v>2653</v>
      </c>
      <c r="N26" s="108" t="s">
        <v>1118</v>
      </c>
      <c r="O26" s="108" t="s">
        <v>160</v>
      </c>
      <c r="P26" s="108" t="s">
        <v>160</v>
      </c>
      <c r="Q26" s="108"/>
      <c r="R26" s="108"/>
      <c r="S26" s="108" t="s">
        <v>160</v>
      </c>
      <c r="T26" s="108" t="s">
        <v>160</v>
      </c>
      <c r="U26" s="108"/>
      <c r="V26" s="108"/>
      <c r="W26" s="108"/>
      <c r="X26" s="108" t="s">
        <v>160</v>
      </c>
      <c r="Y26" s="108" t="s">
        <v>160</v>
      </c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 t="s">
        <v>160</v>
      </c>
      <c r="AS26" s="108" t="s">
        <v>160</v>
      </c>
      <c r="AT26" s="108" t="s">
        <v>160</v>
      </c>
      <c r="AU26" s="108" t="s">
        <v>160</v>
      </c>
      <c r="AV26" s="108" t="s">
        <v>160</v>
      </c>
      <c r="AW26" s="108" t="s">
        <v>160</v>
      </c>
      <c r="AX26" s="108" t="s">
        <v>160</v>
      </c>
      <c r="AY26" s="108" t="s">
        <v>160</v>
      </c>
      <c r="AZ26" s="108"/>
      <c r="BA26" s="108"/>
      <c r="BB26" s="108"/>
      <c r="BC26" s="108"/>
      <c r="BD26" s="108"/>
      <c r="BE26" s="108"/>
    </row>
    <row r="27" spans="1:57" s="85" customFormat="1" x14ac:dyDescent="0.25">
      <c r="A27" s="6" t="s">
        <v>8</v>
      </c>
      <c r="B27" s="26">
        <v>38016</v>
      </c>
      <c r="C27" s="26" t="s">
        <v>715</v>
      </c>
      <c r="D27" s="31" t="s">
        <v>715</v>
      </c>
      <c r="E27" s="25" t="s">
        <v>16</v>
      </c>
      <c r="F27" s="25" t="s">
        <v>16</v>
      </c>
      <c r="G27" s="25"/>
      <c r="H27" s="9" t="s">
        <v>168</v>
      </c>
      <c r="I27" s="41" t="s">
        <v>708</v>
      </c>
      <c r="J27" s="41" t="s">
        <v>8</v>
      </c>
      <c r="K27" s="10" t="s">
        <v>124</v>
      </c>
      <c r="L27" s="24" t="s">
        <v>2682</v>
      </c>
      <c r="M27" s="7" t="s">
        <v>2653</v>
      </c>
      <c r="N27" s="19" t="s">
        <v>1118</v>
      </c>
      <c r="O27" s="19" t="s">
        <v>160</v>
      </c>
      <c r="P27" s="19" t="s">
        <v>160</v>
      </c>
      <c r="Q27" s="19"/>
      <c r="R27" s="19"/>
      <c r="S27" s="19" t="s">
        <v>160</v>
      </c>
      <c r="T27" s="19" t="s">
        <v>160</v>
      </c>
      <c r="U27" s="19"/>
      <c r="V27" s="19"/>
      <c r="W27" s="19"/>
      <c r="X27" s="19" t="s">
        <v>160</v>
      </c>
      <c r="Y27" s="19" t="s">
        <v>160</v>
      </c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 t="s">
        <v>160</v>
      </c>
      <c r="AS27" s="19" t="s">
        <v>160</v>
      </c>
      <c r="AT27" s="19" t="s">
        <v>160</v>
      </c>
      <c r="AU27" s="19" t="s">
        <v>160</v>
      </c>
      <c r="AV27" s="19" t="s">
        <v>160</v>
      </c>
      <c r="AW27" s="19" t="s">
        <v>160</v>
      </c>
      <c r="AX27" s="19" t="s">
        <v>160</v>
      </c>
      <c r="AY27" s="19" t="s">
        <v>160</v>
      </c>
      <c r="AZ27" s="19"/>
      <c r="BA27" s="19"/>
      <c r="BB27" s="19"/>
      <c r="BC27" s="19"/>
      <c r="BD27" s="19"/>
      <c r="BE27" s="19"/>
    </row>
    <row r="28" spans="1:57" s="85" customFormat="1" x14ac:dyDescent="0.25">
      <c r="A28" s="9" t="s">
        <v>706</v>
      </c>
      <c r="B28" s="38">
        <v>21</v>
      </c>
      <c r="C28" s="38" t="s">
        <v>715</v>
      </c>
      <c r="D28" s="62" t="s">
        <v>7</v>
      </c>
      <c r="E28" s="3" t="s">
        <v>16</v>
      </c>
      <c r="F28" s="3" t="s">
        <v>16</v>
      </c>
      <c r="G28" s="3"/>
      <c r="H28" s="9" t="s">
        <v>168</v>
      </c>
      <c r="I28" s="41" t="s">
        <v>708</v>
      </c>
      <c r="J28" s="41" t="s">
        <v>8</v>
      </c>
      <c r="K28" s="9" t="s">
        <v>124</v>
      </c>
      <c r="L28" s="7" t="s">
        <v>2682</v>
      </c>
      <c r="M28" s="7" t="s">
        <v>2653</v>
      </c>
      <c r="N28" s="19" t="s">
        <v>1118</v>
      </c>
      <c r="O28" s="19" t="s">
        <v>160</v>
      </c>
      <c r="P28" s="19" t="s">
        <v>160</v>
      </c>
      <c r="Q28" s="19"/>
      <c r="R28" s="19"/>
      <c r="S28" s="19" t="s">
        <v>160</v>
      </c>
      <c r="T28" s="19" t="s">
        <v>160</v>
      </c>
      <c r="U28" s="19"/>
      <c r="V28" s="19"/>
      <c r="W28" s="19"/>
      <c r="X28" s="19" t="s">
        <v>160</v>
      </c>
      <c r="Y28" s="19" t="s">
        <v>160</v>
      </c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 t="s">
        <v>160</v>
      </c>
      <c r="AS28" s="19" t="s">
        <v>160</v>
      </c>
      <c r="AT28" s="19" t="s">
        <v>160</v>
      </c>
      <c r="AU28" s="19" t="s">
        <v>160</v>
      </c>
      <c r="AV28" s="19" t="s">
        <v>160</v>
      </c>
      <c r="AW28" s="19" t="s">
        <v>160</v>
      </c>
      <c r="AX28" s="19" t="s">
        <v>160</v>
      </c>
      <c r="AY28" s="19" t="s">
        <v>160</v>
      </c>
      <c r="AZ28" s="19"/>
      <c r="BA28" s="19"/>
      <c r="BB28" s="19"/>
      <c r="BC28" s="19"/>
      <c r="BD28" s="19"/>
      <c r="BE28" s="19"/>
    </row>
    <row r="29" spans="1:57" s="85" customFormat="1" x14ac:dyDescent="0.25">
      <c r="A29" s="9" t="s">
        <v>8</v>
      </c>
      <c r="B29" s="26">
        <v>35056</v>
      </c>
      <c r="C29" s="24" t="s">
        <v>1073</v>
      </c>
      <c r="D29" s="24" t="s">
        <v>1073</v>
      </c>
      <c r="E29" s="25">
        <f>59+9/60</f>
        <v>59.15</v>
      </c>
      <c r="F29" s="25">
        <f>19+8/60</f>
        <v>19.133333333333333</v>
      </c>
      <c r="G29" s="9"/>
      <c r="H29" s="9" t="s">
        <v>150</v>
      </c>
      <c r="I29" s="9" t="s">
        <v>8</v>
      </c>
      <c r="J29" s="7" t="s">
        <v>8</v>
      </c>
      <c r="K29" s="10" t="s">
        <v>951</v>
      </c>
      <c r="L29" s="7" t="s">
        <v>2049</v>
      </c>
      <c r="M29" s="7" t="s">
        <v>717</v>
      </c>
      <c r="N29" s="42" t="s">
        <v>1348</v>
      </c>
      <c r="O29" s="42"/>
      <c r="P29" s="42" t="s">
        <v>160</v>
      </c>
      <c r="Q29" s="19"/>
      <c r="R29" s="19"/>
      <c r="S29" s="42" t="s">
        <v>160</v>
      </c>
      <c r="T29" s="19" t="s">
        <v>160</v>
      </c>
      <c r="U29" s="42"/>
      <c r="V29" s="19"/>
      <c r="W29" s="19"/>
      <c r="X29" s="19" t="s">
        <v>160</v>
      </c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 t="s">
        <v>160</v>
      </c>
      <c r="AM29" s="19"/>
      <c r="AN29" s="19" t="s">
        <v>160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</row>
    <row r="30" spans="1:57" s="85" customFormat="1" x14ac:dyDescent="0.25">
      <c r="A30" s="9" t="s">
        <v>8</v>
      </c>
      <c r="B30" s="27">
        <v>37202</v>
      </c>
      <c r="C30" s="28" t="s">
        <v>1961</v>
      </c>
      <c r="D30" s="28" t="s">
        <v>1073</v>
      </c>
      <c r="E30" s="25">
        <v>59.166699999999999</v>
      </c>
      <c r="F30" s="25">
        <v>19.133299999999998</v>
      </c>
      <c r="G30" s="3"/>
      <c r="H30" s="3" t="s">
        <v>150</v>
      </c>
      <c r="I30" s="6" t="s">
        <v>8</v>
      </c>
      <c r="J30" s="21" t="s">
        <v>8</v>
      </c>
      <c r="K30" s="6" t="s">
        <v>2455</v>
      </c>
      <c r="L30" s="7" t="s">
        <v>2027</v>
      </c>
      <c r="M30" s="28" t="s">
        <v>717</v>
      </c>
      <c r="N30" s="19" t="s">
        <v>1824</v>
      </c>
      <c r="O30" s="19"/>
      <c r="P30" s="19"/>
      <c r="Q30" s="19"/>
      <c r="R30" s="19"/>
      <c r="S30" s="19"/>
      <c r="T30" s="7"/>
      <c r="U30" s="19"/>
      <c r="V30" s="19"/>
      <c r="W30" s="19"/>
      <c r="X30" s="19" t="s">
        <v>160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7"/>
      <c r="BB30" s="7"/>
      <c r="BC30" s="7"/>
      <c r="BD30" s="7"/>
      <c r="BE30" s="7"/>
    </row>
    <row r="31" spans="1:57" s="85" customFormat="1" x14ac:dyDescent="0.25">
      <c r="A31" s="6" t="s">
        <v>8</v>
      </c>
      <c r="B31" s="9">
        <v>99090</v>
      </c>
      <c r="C31" s="9" t="s">
        <v>1363</v>
      </c>
      <c r="D31" s="9" t="s">
        <v>1364</v>
      </c>
      <c r="E31" s="3">
        <v>59.154699999999998</v>
      </c>
      <c r="F31" s="3">
        <v>19.129799999999999</v>
      </c>
      <c r="G31" s="33">
        <v>3</v>
      </c>
      <c r="H31" s="9" t="s">
        <v>150</v>
      </c>
      <c r="I31" s="6" t="s">
        <v>8</v>
      </c>
      <c r="J31" s="21" t="s">
        <v>8</v>
      </c>
      <c r="K31" s="3" t="s">
        <v>5</v>
      </c>
      <c r="L31" s="5" t="s">
        <v>2680</v>
      </c>
      <c r="M31" s="7" t="s">
        <v>717</v>
      </c>
      <c r="N31" s="19" t="s">
        <v>2306</v>
      </c>
      <c r="O31" s="19"/>
      <c r="P31" s="19" t="s">
        <v>160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 t="s">
        <v>160</v>
      </c>
      <c r="AS31" s="19"/>
      <c r="AT31" s="19" t="s">
        <v>160</v>
      </c>
      <c r="AU31" s="19"/>
      <c r="AV31" s="19" t="s">
        <v>160</v>
      </c>
      <c r="AW31" s="19"/>
      <c r="AX31" s="19" t="s">
        <v>160</v>
      </c>
      <c r="AY31" s="19"/>
      <c r="AZ31" s="19" t="s">
        <v>160</v>
      </c>
      <c r="BA31" s="19"/>
      <c r="BB31" s="19"/>
      <c r="BC31" s="19"/>
      <c r="BD31" s="19"/>
      <c r="BE31" s="19"/>
    </row>
    <row r="32" spans="1:57" s="87" customFormat="1" x14ac:dyDescent="0.25">
      <c r="A32" s="9" t="s">
        <v>707</v>
      </c>
      <c r="B32" s="39" t="s">
        <v>695</v>
      </c>
      <c r="C32" s="23" t="s">
        <v>934</v>
      </c>
      <c r="D32" s="40" t="s">
        <v>696</v>
      </c>
      <c r="E32" s="46" t="s">
        <v>2076</v>
      </c>
      <c r="F32" s="46" t="s">
        <v>2077</v>
      </c>
      <c r="G32" s="40"/>
      <c r="H32" s="9" t="s">
        <v>149</v>
      </c>
      <c r="I32" s="41" t="s">
        <v>169</v>
      </c>
      <c r="J32" s="41" t="s">
        <v>169</v>
      </c>
      <c r="K32" s="40" t="s">
        <v>5</v>
      </c>
      <c r="L32" s="41" t="s">
        <v>2041</v>
      </c>
      <c r="M32" s="7" t="s">
        <v>2653</v>
      </c>
      <c r="N32" s="19"/>
      <c r="O32" s="19"/>
      <c r="P32" s="19"/>
      <c r="Q32" s="19"/>
      <c r="R32" s="19"/>
      <c r="S32" s="42"/>
      <c r="T32" s="19"/>
      <c r="U32" s="19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19"/>
      <c r="AU32" s="19"/>
      <c r="AV32" s="19"/>
      <c r="AW32" s="19"/>
      <c r="AX32" s="19"/>
      <c r="AY32" s="19"/>
      <c r="AZ32" s="42" t="s">
        <v>160</v>
      </c>
      <c r="BA32" s="42" t="s">
        <v>160</v>
      </c>
      <c r="BB32" s="42"/>
      <c r="BC32" s="42"/>
      <c r="BD32" s="42"/>
      <c r="BE32" s="42"/>
    </row>
    <row r="33" spans="1:57" s="85" customFormat="1" x14ac:dyDescent="0.25">
      <c r="A33" s="114" t="s">
        <v>2773</v>
      </c>
      <c r="B33" s="110" t="s">
        <v>3032</v>
      </c>
      <c r="C33" s="110" t="s">
        <v>934</v>
      </c>
      <c r="D33" s="153" t="s">
        <v>142</v>
      </c>
      <c r="E33" s="93">
        <f>57+57.573/60</f>
        <v>57.95955</v>
      </c>
      <c r="F33" s="93">
        <f>12+6.896/60</f>
        <v>12.114933333333333</v>
      </c>
      <c r="G33" s="93"/>
      <c r="H33" s="94" t="s">
        <v>149</v>
      </c>
      <c r="I33" s="102" t="s">
        <v>169</v>
      </c>
      <c r="J33" s="102" t="s">
        <v>169</v>
      </c>
      <c r="K33" s="102" t="s">
        <v>5</v>
      </c>
      <c r="L33" s="102" t="s">
        <v>2041</v>
      </c>
      <c r="M33" s="105" t="s">
        <v>2653</v>
      </c>
      <c r="N33" s="108"/>
      <c r="O33" s="108"/>
      <c r="P33" s="108"/>
      <c r="Q33" s="108"/>
      <c r="R33" s="108"/>
      <c r="S33" s="106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 t="s">
        <v>160</v>
      </c>
      <c r="BA33" s="108" t="s">
        <v>160</v>
      </c>
      <c r="BB33" s="108"/>
      <c r="BC33" s="108"/>
      <c r="BD33" s="108"/>
      <c r="BE33" s="108"/>
    </row>
    <row r="34" spans="1:57" s="85" customFormat="1" x14ac:dyDescent="0.25">
      <c r="A34" s="6" t="s">
        <v>8</v>
      </c>
      <c r="B34" s="23">
        <v>35176</v>
      </c>
      <c r="C34" s="23" t="s">
        <v>934</v>
      </c>
      <c r="D34" s="24" t="s">
        <v>2672</v>
      </c>
      <c r="E34" s="35">
        <f>57+56/60+48.84/3600</f>
        <v>57.946899999999999</v>
      </c>
      <c r="F34" s="35">
        <f>12+5/60+13.56/3600</f>
        <v>12.087100000000001</v>
      </c>
      <c r="G34" s="5"/>
      <c r="H34" s="9" t="s">
        <v>149</v>
      </c>
      <c r="I34" s="24" t="s">
        <v>169</v>
      </c>
      <c r="J34" s="24" t="s">
        <v>169</v>
      </c>
      <c r="K34" s="24" t="s">
        <v>5</v>
      </c>
      <c r="L34" s="24" t="s">
        <v>2041</v>
      </c>
      <c r="M34" s="7" t="s">
        <v>2653</v>
      </c>
      <c r="N34" s="19"/>
      <c r="O34" s="19"/>
      <c r="P34" s="19"/>
      <c r="Q34" s="19"/>
      <c r="R34" s="19"/>
      <c r="S34" s="42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 t="s">
        <v>160</v>
      </c>
      <c r="BA34" s="19" t="s">
        <v>160</v>
      </c>
      <c r="BB34" s="19"/>
      <c r="BC34" s="19"/>
      <c r="BD34" s="19"/>
      <c r="BE34" s="19"/>
    </row>
    <row r="35" spans="1:57" s="85" customFormat="1" x14ac:dyDescent="0.25">
      <c r="A35" s="9" t="s">
        <v>706</v>
      </c>
      <c r="B35" s="38">
        <v>97</v>
      </c>
      <c r="C35" s="23" t="s">
        <v>934</v>
      </c>
      <c r="D35" s="62" t="s">
        <v>142</v>
      </c>
      <c r="E35" s="3">
        <v>57.946899999999999</v>
      </c>
      <c r="F35" s="3">
        <v>12.0871</v>
      </c>
      <c r="G35" s="3"/>
      <c r="H35" s="9" t="s">
        <v>149</v>
      </c>
      <c r="I35" s="7" t="s">
        <v>169</v>
      </c>
      <c r="J35" s="7" t="s">
        <v>169</v>
      </c>
      <c r="K35" s="9" t="s">
        <v>5</v>
      </c>
      <c r="L35" s="7" t="s">
        <v>2041</v>
      </c>
      <c r="M35" s="7" t="s">
        <v>2653</v>
      </c>
      <c r="N35" s="19"/>
      <c r="O35" s="19"/>
      <c r="P35" s="19"/>
      <c r="Q35" s="19"/>
      <c r="R35" s="19"/>
      <c r="S35" s="42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 t="s">
        <v>160</v>
      </c>
      <c r="BA35" s="19" t="s">
        <v>160</v>
      </c>
      <c r="BB35" s="19"/>
      <c r="BC35" s="19"/>
      <c r="BD35" s="19"/>
      <c r="BE35" s="19"/>
    </row>
    <row r="36" spans="1:57" s="85" customFormat="1" x14ac:dyDescent="0.25">
      <c r="A36" s="6" t="s">
        <v>8</v>
      </c>
      <c r="B36" s="9">
        <v>92030</v>
      </c>
      <c r="C36" s="9" t="s">
        <v>2320</v>
      </c>
      <c r="D36" s="9" t="s">
        <v>1365</v>
      </c>
      <c r="E36" s="3">
        <v>59.054200000000002</v>
      </c>
      <c r="F36" s="3">
        <v>12.696899999999999</v>
      </c>
      <c r="G36" s="9">
        <v>60</v>
      </c>
      <c r="H36" s="9" t="s">
        <v>148</v>
      </c>
      <c r="I36" s="6" t="s">
        <v>8</v>
      </c>
      <c r="J36" s="21" t="s">
        <v>8</v>
      </c>
      <c r="K36" s="3" t="s">
        <v>5</v>
      </c>
      <c r="L36" s="5" t="s">
        <v>2680</v>
      </c>
      <c r="M36" s="7" t="s">
        <v>717</v>
      </c>
      <c r="N36" s="19" t="s">
        <v>2307</v>
      </c>
      <c r="O36" s="19"/>
      <c r="P36" s="19" t="s">
        <v>160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 t="s">
        <v>160</v>
      </c>
      <c r="AS36" s="19"/>
      <c r="AT36" s="19" t="s">
        <v>160</v>
      </c>
      <c r="AU36" s="19"/>
      <c r="AV36" s="19" t="s">
        <v>160</v>
      </c>
      <c r="AW36" s="19"/>
      <c r="AX36" s="19" t="s">
        <v>160</v>
      </c>
      <c r="AY36" s="19"/>
      <c r="AZ36" s="19" t="s">
        <v>160</v>
      </c>
      <c r="BA36" s="19"/>
      <c r="BB36" s="19"/>
      <c r="BC36" s="19"/>
      <c r="BD36" s="19"/>
      <c r="BE36" s="19"/>
    </row>
    <row r="37" spans="1:57" s="85" customFormat="1" x14ac:dyDescent="0.25">
      <c r="A37" s="9" t="s">
        <v>8</v>
      </c>
      <c r="B37" s="27">
        <v>37408</v>
      </c>
      <c r="C37" s="28" t="s">
        <v>2383</v>
      </c>
      <c r="D37" s="28" t="s">
        <v>2382</v>
      </c>
      <c r="E37" s="25">
        <v>59.05</v>
      </c>
      <c r="F37" s="25">
        <v>12.716699999999999</v>
      </c>
      <c r="G37" s="3"/>
      <c r="H37" s="9" t="s">
        <v>148</v>
      </c>
      <c r="I37" s="5" t="s">
        <v>708</v>
      </c>
      <c r="J37" s="5" t="s">
        <v>8</v>
      </c>
      <c r="K37" s="6" t="s">
        <v>2455</v>
      </c>
      <c r="L37" s="7" t="s">
        <v>2027</v>
      </c>
      <c r="M37" s="28" t="s">
        <v>2653</v>
      </c>
      <c r="N37" s="19" t="s">
        <v>1114</v>
      </c>
      <c r="O37" s="19"/>
      <c r="P37" s="19"/>
      <c r="Q37" s="19"/>
      <c r="R37" s="19"/>
      <c r="S37" s="19"/>
      <c r="T37" s="19"/>
      <c r="U37" s="19"/>
      <c r="V37" s="19"/>
      <c r="W37" s="19"/>
      <c r="X37" s="19" t="s">
        <v>160</v>
      </c>
      <c r="Y37" s="19" t="s">
        <v>160</v>
      </c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7"/>
      <c r="BB37" s="7"/>
      <c r="BC37" s="7"/>
      <c r="BD37" s="7"/>
      <c r="BE37" s="7"/>
    </row>
    <row r="38" spans="1:57" s="87" customFormat="1" x14ac:dyDescent="0.25">
      <c r="A38" s="98" t="s">
        <v>2773</v>
      </c>
      <c r="B38" s="136">
        <v>2542</v>
      </c>
      <c r="C38" s="110" t="s">
        <v>975</v>
      </c>
      <c r="D38" s="184" t="s">
        <v>1580</v>
      </c>
      <c r="E38" s="82">
        <f>56+17/60+52.84/3600</f>
        <v>56.298011111111109</v>
      </c>
      <c r="F38" s="82">
        <f>12+47/60+11.44/3600</f>
        <v>12.78651111111111</v>
      </c>
      <c r="G38" s="82"/>
      <c r="H38" s="94" t="s">
        <v>150</v>
      </c>
      <c r="I38" s="94" t="s">
        <v>8</v>
      </c>
      <c r="J38" s="105" t="s">
        <v>8</v>
      </c>
      <c r="K38" s="94" t="s">
        <v>6</v>
      </c>
      <c r="L38" s="105" t="s">
        <v>2030</v>
      </c>
      <c r="M38" s="105" t="s">
        <v>717</v>
      </c>
      <c r="N38" s="108" t="s">
        <v>1102</v>
      </c>
      <c r="O38" s="108"/>
      <c r="P38" s="108"/>
      <c r="Q38" s="108" t="s">
        <v>1612</v>
      </c>
      <c r="R38" s="108"/>
      <c r="S38" s="106" t="s">
        <v>160</v>
      </c>
      <c r="T38" s="108" t="s">
        <v>160</v>
      </c>
      <c r="U38" s="108">
        <v>4</v>
      </c>
      <c r="V38" s="108" t="s">
        <v>160</v>
      </c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</row>
    <row r="39" spans="1:57" s="53" customFormat="1" x14ac:dyDescent="0.25">
      <c r="A39" s="10" t="s">
        <v>8</v>
      </c>
      <c r="B39" s="140">
        <v>2542</v>
      </c>
      <c r="C39" s="23" t="s">
        <v>975</v>
      </c>
      <c r="D39" t="s">
        <v>1580</v>
      </c>
      <c r="E39" s="195">
        <v>56.27</v>
      </c>
      <c r="F39" s="195">
        <v>12.84</v>
      </c>
      <c r="G39" s="3"/>
      <c r="H39" s="9" t="s">
        <v>150</v>
      </c>
      <c r="I39" s="9" t="s">
        <v>8</v>
      </c>
      <c r="J39" s="7" t="s">
        <v>8</v>
      </c>
      <c r="K39" s="9" t="s">
        <v>6</v>
      </c>
      <c r="L39" s="7" t="s">
        <v>2030</v>
      </c>
      <c r="M39" s="7" t="s">
        <v>717</v>
      </c>
      <c r="N39" s="19" t="s">
        <v>1102</v>
      </c>
      <c r="O39" s="19"/>
      <c r="P39" s="19"/>
      <c r="Q39" s="19" t="s">
        <v>1612</v>
      </c>
      <c r="R39" s="19"/>
      <c r="S39" s="42" t="s">
        <v>160</v>
      </c>
      <c r="T39" s="19" t="s">
        <v>160</v>
      </c>
      <c r="U39" s="19">
        <v>4</v>
      </c>
      <c r="V39" s="19" t="s">
        <v>160</v>
      </c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</row>
    <row r="40" spans="1:57" s="85" customFormat="1" x14ac:dyDescent="0.25">
      <c r="A40" s="6" t="s">
        <v>8</v>
      </c>
      <c r="B40" s="9">
        <v>62710</v>
      </c>
      <c r="C40" s="9" t="s">
        <v>2314</v>
      </c>
      <c r="D40" s="9" t="s">
        <v>976</v>
      </c>
      <c r="E40" s="3">
        <v>56.25</v>
      </c>
      <c r="F40" s="3">
        <v>12.85</v>
      </c>
      <c r="G40" s="9">
        <v>10</v>
      </c>
      <c r="H40" s="3"/>
      <c r="I40" s="6" t="s">
        <v>8</v>
      </c>
      <c r="J40" s="21" t="s">
        <v>8</v>
      </c>
      <c r="K40" s="3" t="s">
        <v>5</v>
      </c>
      <c r="L40" s="5" t="s">
        <v>2028</v>
      </c>
      <c r="M40" s="5" t="s">
        <v>717</v>
      </c>
      <c r="N40" s="19" t="s">
        <v>2559</v>
      </c>
      <c r="O40" s="19"/>
      <c r="P40" s="19" t="s">
        <v>160</v>
      </c>
      <c r="Q40" s="19"/>
      <c r="R40" s="19"/>
      <c r="S40" s="19"/>
      <c r="T40" s="19"/>
      <c r="U40" s="1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19" t="s">
        <v>160</v>
      </c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</row>
    <row r="41" spans="1:57" s="85" customFormat="1" x14ac:dyDescent="0.25">
      <c r="A41" s="6" t="s">
        <v>8</v>
      </c>
      <c r="B41" s="53">
        <v>62180</v>
      </c>
      <c r="C41" s="53" t="s">
        <v>2444</v>
      </c>
      <c r="D41" s="53" t="s">
        <v>2308</v>
      </c>
      <c r="E41" s="3">
        <v>56.297899999999998</v>
      </c>
      <c r="F41" s="3">
        <v>12.844099999999999</v>
      </c>
      <c r="G41" s="38">
        <v>18</v>
      </c>
      <c r="H41" s="3"/>
      <c r="I41" s="21" t="s">
        <v>8</v>
      </c>
      <c r="J41" s="21" t="s">
        <v>8</v>
      </c>
      <c r="K41" s="3" t="s">
        <v>5</v>
      </c>
      <c r="L41" s="5" t="s">
        <v>2680</v>
      </c>
      <c r="M41" s="5" t="s">
        <v>2653</v>
      </c>
      <c r="N41" s="42" t="s">
        <v>2309</v>
      </c>
      <c r="O41" s="42"/>
      <c r="P41" s="42" t="s">
        <v>160</v>
      </c>
      <c r="Q41" s="19"/>
      <c r="R41" s="19"/>
      <c r="S41" s="42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 t="s">
        <v>160</v>
      </c>
      <c r="AS41" s="19" t="s">
        <v>160</v>
      </c>
      <c r="AT41" s="19" t="s">
        <v>160</v>
      </c>
      <c r="AU41" s="19" t="s">
        <v>160</v>
      </c>
      <c r="AV41" s="19" t="s">
        <v>160</v>
      </c>
      <c r="AW41" s="19" t="s">
        <v>160</v>
      </c>
      <c r="AX41" s="19" t="s">
        <v>160</v>
      </c>
      <c r="AY41" s="19" t="s">
        <v>160</v>
      </c>
      <c r="AZ41" s="19" t="s">
        <v>160</v>
      </c>
      <c r="BA41" s="19" t="s">
        <v>160</v>
      </c>
      <c r="BB41" s="19"/>
      <c r="BC41" s="19"/>
      <c r="BD41" s="19"/>
      <c r="BE41" s="19"/>
    </row>
    <row r="42" spans="1:57" s="85" customFormat="1" x14ac:dyDescent="0.25">
      <c r="A42" s="9" t="s">
        <v>8</v>
      </c>
      <c r="B42" s="38">
        <v>38004</v>
      </c>
      <c r="C42" s="23" t="s">
        <v>1706</v>
      </c>
      <c r="D42" s="24" t="s">
        <v>1707</v>
      </c>
      <c r="E42" s="3" t="s">
        <v>16</v>
      </c>
      <c r="F42" s="3" t="s">
        <v>16</v>
      </c>
      <c r="G42" s="3"/>
      <c r="H42" s="9" t="s">
        <v>150</v>
      </c>
      <c r="I42" s="9" t="s">
        <v>8</v>
      </c>
      <c r="J42" s="7" t="s">
        <v>8</v>
      </c>
      <c r="K42" s="9" t="s">
        <v>124</v>
      </c>
      <c r="L42" s="7" t="s">
        <v>2467</v>
      </c>
      <c r="M42" s="7" t="s">
        <v>717</v>
      </c>
      <c r="N42" s="19" t="s">
        <v>1708</v>
      </c>
      <c r="O42" s="19"/>
      <c r="P42" s="19"/>
      <c r="Q42" s="19"/>
      <c r="R42" s="19"/>
      <c r="S42" s="42" t="s">
        <v>160</v>
      </c>
      <c r="T42" s="19" t="s">
        <v>160</v>
      </c>
      <c r="U42" s="19"/>
      <c r="V42" s="19"/>
      <c r="W42" s="19"/>
      <c r="X42" s="19" t="s">
        <v>160</v>
      </c>
      <c r="Y42" s="19"/>
      <c r="Z42" s="19" t="s">
        <v>160</v>
      </c>
      <c r="AA42" s="19"/>
      <c r="AB42" s="19"/>
      <c r="AC42" s="19"/>
      <c r="AD42" s="19"/>
      <c r="AE42" s="19"/>
      <c r="AF42" s="19"/>
      <c r="AG42" s="19"/>
      <c r="AH42" s="19"/>
      <c r="AI42" s="19"/>
      <c r="AJ42" s="19" t="s">
        <v>160</v>
      </c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</row>
    <row r="43" spans="1:57" s="87" customFormat="1" x14ac:dyDescent="0.25">
      <c r="A43" s="9" t="s">
        <v>707</v>
      </c>
      <c r="B43" s="137">
        <v>100011348</v>
      </c>
      <c r="C43" s="45" t="s">
        <v>836</v>
      </c>
      <c r="D43" s="40" t="s">
        <v>191</v>
      </c>
      <c r="E43" s="46" t="s">
        <v>193</v>
      </c>
      <c r="F43" s="46" t="s">
        <v>192</v>
      </c>
      <c r="G43" s="40"/>
      <c r="H43" s="9" t="s">
        <v>150</v>
      </c>
      <c r="I43" s="41" t="s">
        <v>8</v>
      </c>
      <c r="J43" s="41" t="s">
        <v>8</v>
      </c>
      <c r="K43" s="40" t="s">
        <v>6</v>
      </c>
      <c r="L43" s="41" t="s">
        <v>2031</v>
      </c>
      <c r="M43" s="7" t="s">
        <v>2653</v>
      </c>
      <c r="N43" s="42" t="s">
        <v>1118</v>
      </c>
      <c r="O43" s="42"/>
      <c r="P43" s="42" t="s">
        <v>160</v>
      </c>
      <c r="Q43" s="44" t="s">
        <v>1149</v>
      </c>
      <c r="R43" s="44" t="s">
        <v>1583</v>
      </c>
      <c r="S43" s="42" t="s">
        <v>160</v>
      </c>
      <c r="T43" s="19" t="s">
        <v>160</v>
      </c>
      <c r="U43" s="19">
        <v>1</v>
      </c>
      <c r="V43" s="42" t="s">
        <v>160</v>
      </c>
      <c r="W43" s="42" t="s">
        <v>160</v>
      </c>
      <c r="X43" s="42" t="s">
        <v>160</v>
      </c>
      <c r="Y43" s="42" t="s">
        <v>160</v>
      </c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19"/>
      <c r="AU43" s="19"/>
      <c r="AV43" s="19"/>
      <c r="AW43" s="19"/>
      <c r="AX43" s="19"/>
      <c r="AY43" s="19"/>
      <c r="AZ43" s="42"/>
      <c r="BA43" s="42"/>
      <c r="BB43" s="42"/>
      <c r="BC43" s="42"/>
      <c r="BD43" s="42"/>
      <c r="BE43" s="42"/>
    </row>
    <row r="44" spans="1:57" s="53" customFormat="1" x14ac:dyDescent="0.25">
      <c r="A44" s="53" t="s">
        <v>2763</v>
      </c>
      <c r="B44" s="138">
        <v>2545</v>
      </c>
      <c r="C44" s="7" t="s">
        <v>836</v>
      </c>
      <c r="D44" s="53" t="s">
        <v>754</v>
      </c>
      <c r="E44" s="66">
        <f>58+28/60+59.322/3600</f>
        <v>58.483145</v>
      </c>
      <c r="F44" s="35">
        <f>16+57/60+49.194/3600</f>
        <v>16.963664999999999</v>
      </c>
      <c r="G44" s="54"/>
      <c r="H44" s="7" t="s">
        <v>150</v>
      </c>
      <c r="I44" s="7" t="s">
        <v>8</v>
      </c>
      <c r="J44" s="53" t="s">
        <v>8</v>
      </c>
      <c r="K44" s="7" t="s">
        <v>6</v>
      </c>
      <c r="L44" s="7" t="s">
        <v>2031</v>
      </c>
      <c r="M44" s="7" t="s">
        <v>2653</v>
      </c>
      <c r="N44" s="42" t="s">
        <v>1118</v>
      </c>
      <c r="O44" s="42"/>
      <c r="P44" s="42" t="s">
        <v>160</v>
      </c>
      <c r="Q44" s="44" t="s">
        <v>1149</v>
      </c>
      <c r="R44" s="44" t="s">
        <v>1583</v>
      </c>
      <c r="S44" s="42" t="s">
        <v>160</v>
      </c>
      <c r="T44" s="19" t="s">
        <v>160</v>
      </c>
      <c r="U44" s="42">
        <v>1</v>
      </c>
      <c r="V44" s="20" t="s">
        <v>160</v>
      </c>
      <c r="W44" s="20" t="s">
        <v>160</v>
      </c>
      <c r="X44" s="20" t="s">
        <v>160</v>
      </c>
      <c r="Y44" s="20" t="s">
        <v>160</v>
      </c>
    </row>
    <row r="45" spans="1:57" s="53" customFormat="1" x14ac:dyDescent="0.25">
      <c r="A45" s="98" t="s">
        <v>2773</v>
      </c>
      <c r="B45" s="139" t="s">
        <v>2774</v>
      </c>
      <c r="C45" s="110" t="s">
        <v>836</v>
      </c>
      <c r="D45" s="153" t="s">
        <v>754</v>
      </c>
      <c r="E45" s="82">
        <f>58+28/60+59.33/3600</f>
        <v>58.483147222222222</v>
      </c>
      <c r="F45" s="82">
        <f>16+57/60+49.13/3600</f>
        <v>16.963647222222221</v>
      </c>
      <c r="G45" s="81"/>
      <c r="H45" s="105" t="s">
        <v>150</v>
      </c>
      <c r="I45" s="105" t="s">
        <v>8</v>
      </c>
      <c r="J45" s="105" t="s">
        <v>8</v>
      </c>
      <c r="K45" s="105" t="s">
        <v>6</v>
      </c>
      <c r="L45" s="105" t="s">
        <v>2031</v>
      </c>
      <c r="M45" s="105" t="s">
        <v>2653</v>
      </c>
      <c r="N45" s="106" t="s">
        <v>1118</v>
      </c>
      <c r="O45" s="106"/>
      <c r="P45" s="106" t="s">
        <v>160</v>
      </c>
      <c r="Q45" s="107" t="s">
        <v>1149</v>
      </c>
      <c r="R45" s="107" t="s">
        <v>1583</v>
      </c>
      <c r="S45" s="106" t="s">
        <v>160</v>
      </c>
      <c r="T45" s="108" t="s">
        <v>160</v>
      </c>
      <c r="U45" s="106">
        <v>1</v>
      </c>
      <c r="V45" s="103" t="s">
        <v>160</v>
      </c>
      <c r="W45" s="103" t="s">
        <v>160</v>
      </c>
      <c r="X45" s="103" t="s">
        <v>160</v>
      </c>
      <c r="Y45" s="103" t="s">
        <v>160</v>
      </c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</row>
    <row r="46" spans="1:57" s="85" customFormat="1" x14ac:dyDescent="0.25">
      <c r="A46" s="10" t="s">
        <v>8</v>
      </c>
      <c r="B46" s="142" t="s">
        <v>2861</v>
      </c>
      <c r="C46" s="23" t="s">
        <v>836</v>
      </c>
      <c r="D46" t="s">
        <v>754</v>
      </c>
      <c r="E46" s="193">
        <v>58.484299999999998</v>
      </c>
      <c r="F46" s="193">
        <v>16.960699999999999</v>
      </c>
      <c r="G46" s="43"/>
      <c r="H46" s="7" t="s">
        <v>150</v>
      </c>
      <c r="I46" s="7" t="s">
        <v>8</v>
      </c>
      <c r="J46" s="7" t="s">
        <v>8</v>
      </c>
      <c r="K46" s="7" t="s">
        <v>6</v>
      </c>
      <c r="L46" s="7" t="s">
        <v>2031</v>
      </c>
      <c r="M46" s="7" t="s">
        <v>2653</v>
      </c>
      <c r="N46" s="42" t="s">
        <v>1118</v>
      </c>
      <c r="O46" s="42"/>
      <c r="P46" s="42" t="s">
        <v>160</v>
      </c>
      <c r="Q46" s="44" t="s">
        <v>1149</v>
      </c>
      <c r="R46" s="44" t="s">
        <v>1583</v>
      </c>
      <c r="S46" s="42" t="s">
        <v>160</v>
      </c>
      <c r="T46" s="19" t="s">
        <v>160</v>
      </c>
      <c r="U46" s="42">
        <v>1</v>
      </c>
      <c r="V46" s="20" t="s">
        <v>160</v>
      </c>
      <c r="W46" s="20" t="s">
        <v>160</v>
      </c>
      <c r="X46" s="20" t="s">
        <v>160</v>
      </c>
      <c r="Y46" s="20" t="s">
        <v>160</v>
      </c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</row>
    <row r="47" spans="1:57" s="85" customFormat="1" x14ac:dyDescent="0.25">
      <c r="A47" s="9" t="s">
        <v>706</v>
      </c>
      <c r="B47" s="140">
        <v>15</v>
      </c>
      <c r="C47" s="38" t="s">
        <v>836</v>
      </c>
      <c r="D47" s="62" t="s">
        <v>754</v>
      </c>
      <c r="E47" s="5">
        <f>58+28/60+59/3600</f>
        <v>58.483055555555559</v>
      </c>
      <c r="F47" s="5">
        <f>16+57/60+49/3600</f>
        <v>16.96361111111111</v>
      </c>
      <c r="G47" s="43"/>
      <c r="H47" s="9" t="s">
        <v>150</v>
      </c>
      <c r="I47" s="41" t="s">
        <v>8</v>
      </c>
      <c r="J47" s="41" t="s">
        <v>8</v>
      </c>
      <c r="K47" s="9" t="s">
        <v>6</v>
      </c>
      <c r="L47" s="7" t="s">
        <v>2031</v>
      </c>
      <c r="M47" s="7" t="s">
        <v>2653</v>
      </c>
      <c r="N47" s="42" t="s">
        <v>1118</v>
      </c>
      <c r="O47" s="42"/>
      <c r="P47" s="42" t="s">
        <v>160</v>
      </c>
      <c r="Q47" s="44" t="s">
        <v>1149</v>
      </c>
      <c r="R47" s="44" t="s">
        <v>1583</v>
      </c>
      <c r="S47" s="42" t="s">
        <v>160</v>
      </c>
      <c r="T47" s="19" t="s">
        <v>160</v>
      </c>
      <c r="U47" s="19">
        <v>1</v>
      </c>
      <c r="V47" s="19" t="s">
        <v>160</v>
      </c>
      <c r="W47" s="19" t="s">
        <v>160</v>
      </c>
      <c r="X47" s="19" t="s">
        <v>160</v>
      </c>
      <c r="Y47" s="19" t="s">
        <v>160</v>
      </c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</row>
    <row r="48" spans="1:57" s="87" customFormat="1" x14ac:dyDescent="0.25">
      <c r="A48" s="7" t="s">
        <v>707</v>
      </c>
      <c r="B48" s="45">
        <v>100006581</v>
      </c>
      <c r="C48" s="45" t="s">
        <v>3033</v>
      </c>
      <c r="D48" s="41" t="s">
        <v>188</v>
      </c>
      <c r="E48" s="46" t="s">
        <v>190</v>
      </c>
      <c r="F48" s="46" t="s">
        <v>189</v>
      </c>
      <c r="G48" s="41"/>
      <c r="H48" s="7" t="s">
        <v>150</v>
      </c>
      <c r="I48" s="41" t="s">
        <v>169</v>
      </c>
      <c r="J48" s="41" t="s">
        <v>169</v>
      </c>
      <c r="K48" s="41" t="s">
        <v>5</v>
      </c>
      <c r="L48" s="41" t="s">
        <v>2043</v>
      </c>
      <c r="M48" s="7" t="s">
        <v>2653</v>
      </c>
      <c r="N48" s="19"/>
      <c r="O48" s="19"/>
      <c r="P48" s="19"/>
      <c r="Q48" s="19"/>
      <c r="R48" s="19"/>
      <c r="S48" s="42" t="s">
        <v>160</v>
      </c>
      <c r="T48" s="19" t="s">
        <v>160</v>
      </c>
      <c r="U48" s="19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 t="s">
        <v>160</v>
      </c>
      <c r="AS48" s="42" t="s">
        <v>160</v>
      </c>
      <c r="AT48" s="19"/>
      <c r="AU48" s="19"/>
      <c r="AV48" s="19"/>
      <c r="AW48" s="19"/>
      <c r="AX48" s="19"/>
      <c r="AY48" s="19"/>
      <c r="AZ48" s="42"/>
      <c r="BA48" s="42"/>
      <c r="BB48" s="42"/>
      <c r="BC48" s="42"/>
      <c r="BD48" s="42"/>
      <c r="BE48" s="42"/>
    </row>
    <row r="49" spans="1:57" s="85" customFormat="1" x14ac:dyDescent="0.25">
      <c r="A49" s="94" t="s">
        <v>2773</v>
      </c>
      <c r="B49" s="147" t="s">
        <v>3034</v>
      </c>
      <c r="C49" s="109" t="s">
        <v>3033</v>
      </c>
      <c r="D49" s="153" t="s">
        <v>754</v>
      </c>
      <c r="E49" s="93">
        <f>58+29.037/60</f>
        <v>58.48395</v>
      </c>
      <c r="F49" s="93">
        <f>16+57.669/60</f>
        <v>16.96115</v>
      </c>
      <c r="G49" s="81"/>
      <c r="H49" s="94" t="s">
        <v>150</v>
      </c>
      <c r="I49" s="113" t="s">
        <v>169</v>
      </c>
      <c r="J49" s="113" t="s">
        <v>169</v>
      </c>
      <c r="K49" s="94" t="s">
        <v>5</v>
      </c>
      <c r="L49" s="105" t="s">
        <v>2043</v>
      </c>
      <c r="M49" s="105" t="s">
        <v>2653</v>
      </c>
      <c r="N49" s="106" t="s">
        <v>1118</v>
      </c>
      <c r="O49" s="106"/>
      <c r="P49" s="106"/>
      <c r="Q49" s="107"/>
      <c r="R49" s="107"/>
      <c r="S49" s="106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 t="s">
        <v>160</v>
      </c>
      <c r="AS49" s="108" t="s">
        <v>160</v>
      </c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</row>
    <row r="50" spans="1:57" s="85" customFormat="1" x14ac:dyDescent="0.25">
      <c r="A50" s="9" t="s">
        <v>8</v>
      </c>
      <c r="B50" s="144" t="s">
        <v>875</v>
      </c>
      <c r="C50" s="38" t="s">
        <v>3033</v>
      </c>
      <c r="D50" t="s">
        <v>754</v>
      </c>
      <c r="E50" s="5">
        <f>58+29.037/60</f>
        <v>58.48395</v>
      </c>
      <c r="F50" s="5">
        <f>16+57.669/60</f>
        <v>16.96115</v>
      </c>
      <c r="G50" s="43"/>
      <c r="H50" s="9" t="s">
        <v>150</v>
      </c>
      <c r="I50" s="41" t="s">
        <v>169</v>
      </c>
      <c r="J50" s="41" t="s">
        <v>169</v>
      </c>
      <c r="K50" s="9" t="s">
        <v>5</v>
      </c>
      <c r="L50" s="7" t="s">
        <v>2043</v>
      </c>
      <c r="M50" s="7" t="s">
        <v>2653</v>
      </c>
      <c r="N50" s="42" t="s">
        <v>1118</v>
      </c>
      <c r="O50" s="42"/>
      <c r="P50" s="42"/>
      <c r="Q50" s="44"/>
      <c r="R50" s="44"/>
      <c r="S50" s="42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 t="s">
        <v>160</v>
      </c>
      <c r="AS50" s="19" t="s">
        <v>160</v>
      </c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</row>
    <row r="51" spans="1:57" s="85" customFormat="1" x14ac:dyDescent="0.25">
      <c r="A51" s="9" t="s">
        <v>706</v>
      </c>
      <c r="B51" s="140">
        <v>15</v>
      </c>
      <c r="C51" s="38" t="s">
        <v>3033</v>
      </c>
      <c r="D51" s="62" t="s">
        <v>754</v>
      </c>
      <c r="E51" s="5">
        <f>58+28/60+59/3600</f>
        <v>58.483055555555559</v>
      </c>
      <c r="F51" s="5">
        <f>16+57/60+49/3600</f>
        <v>16.96361111111111</v>
      </c>
      <c r="G51" s="43"/>
      <c r="H51" s="9" t="s">
        <v>150</v>
      </c>
      <c r="I51" s="41" t="s">
        <v>169</v>
      </c>
      <c r="J51" s="41" t="s">
        <v>169</v>
      </c>
      <c r="K51" s="9" t="s">
        <v>5</v>
      </c>
      <c r="L51" s="7" t="s">
        <v>2043</v>
      </c>
      <c r="M51" s="7" t="s">
        <v>2653</v>
      </c>
      <c r="N51" s="42" t="s">
        <v>1118</v>
      </c>
      <c r="O51" s="42"/>
      <c r="P51" s="42"/>
      <c r="Q51" s="44"/>
      <c r="R51" s="44"/>
      <c r="S51" s="42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 t="s">
        <v>160</v>
      </c>
      <c r="AS51" s="19" t="s">
        <v>160</v>
      </c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</row>
    <row r="52" spans="1:57" s="85" customFormat="1" x14ac:dyDescent="0.25">
      <c r="A52" s="9" t="s">
        <v>8</v>
      </c>
      <c r="B52" s="26">
        <v>33022</v>
      </c>
      <c r="C52" s="24" t="s">
        <v>995</v>
      </c>
      <c r="D52" t="s">
        <v>996</v>
      </c>
      <c r="E52" s="25">
        <f>58+48/60+7.2/3600</f>
        <v>58.802</v>
      </c>
      <c r="F52" s="25">
        <f>17+37/60+30.6/3600</f>
        <v>17.625166666666669</v>
      </c>
      <c r="G52" s="55"/>
      <c r="H52" s="9" t="s">
        <v>150</v>
      </c>
      <c r="I52" s="24" t="s">
        <v>1024</v>
      </c>
      <c r="J52" s="24" t="s">
        <v>8</v>
      </c>
      <c r="K52" s="9" t="s">
        <v>951</v>
      </c>
      <c r="L52" s="7" t="s">
        <v>2683</v>
      </c>
      <c r="M52" s="7" t="s">
        <v>2653</v>
      </c>
      <c r="N52" s="42" t="s">
        <v>1118</v>
      </c>
      <c r="O52" s="42"/>
      <c r="P52" s="42" t="s">
        <v>160</v>
      </c>
      <c r="Q52" s="19"/>
      <c r="R52" s="19"/>
      <c r="S52" s="42" t="s">
        <v>160</v>
      </c>
      <c r="T52" s="19" t="s">
        <v>160</v>
      </c>
      <c r="U52" s="42"/>
      <c r="V52" s="19"/>
      <c r="W52" s="19"/>
      <c r="X52" s="19" t="s">
        <v>160</v>
      </c>
      <c r="Y52" s="19" t="s">
        <v>160</v>
      </c>
      <c r="Z52" s="19" t="s">
        <v>160</v>
      </c>
      <c r="AA52" s="19" t="s">
        <v>160</v>
      </c>
      <c r="AB52" s="19" t="s">
        <v>160</v>
      </c>
      <c r="AC52" s="19" t="s">
        <v>160</v>
      </c>
      <c r="AD52" s="19" t="s">
        <v>160</v>
      </c>
      <c r="AE52" s="19" t="s">
        <v>160</v>
      </c>
      <c r="AF52" s="19"/>
      <c r="AG52" s="19"/>
      <c r="AH52" s="19"/>
      <c r="AI52" s="19"/>
      <c r="AJ52" s="19" t="s">
        <v>160</v>
      </c>
      <c r="AK52" s="19" t="s">
        <v>160</v>
      </c>
      <c r="AL52" s="19" t="s">
        <v>160</v>
      </c>
      <c r="AM52" s="19" t="s">
        <v>160</v>
      </c>
      <c r="AN52" s="19"/>
      <c r="AO52" s="19"/>
      <c r="AP52" s="19"/>
      <c r="AQ52" s="19"/>
      <c r="AR52" s="19"/>
      <c r="AS52" s="19"/>
      <c r="AT52" s="19" t="s">
        <v>160</v>
      </c>
      <c r="AU52" s="19" t="s">
        <v>160</v>
      </c>
      <c r="AV52" s="19" t="s">
        <v>160</v>
      </c>
      <c r="AW52" s="19" t="s">
        <v>160</v>
      </c>
      <c r="AX52" s="19"/>
      <c r="AY52" s="19"/>
      <c r="AZ52" s="19"/>
      <c r="BA52" s="19"/>
      <c r="BB52" s="19"/>
      <c r="BC52" s="19"/>
      <c r="BD52" s="19"/>
      <c r="BE52" s="19"/>
    </row>
    <row r="53" spans="1:57" s="85" customFormat="1" x14ac:dyDescent="0.25">
      <c r="A53" s="9" t="s">
        <v>8</v>
      </c>
      <c r="B53" s="27">
        <v>37207</v>
      </c>
      <c r="C53" s="28" t="s">
        <v>1962</v>
      </c>
      <c r="D53" s="28" t="s">
        <v>1734</v>
      </c>
      <c r="E53" s="25">
        <v>58.416699999999999</v>
      </c>
      <c r="F53" s="25">
        <v>16.966699999999999</v>
      </c>
      <c r="G53" s="3"/>
      <c r="H53" s="10" t="s">
        <v>150</v>
      </c>
      <c r="I53" s="10" t="s">
        <v>8</v>
      </c>
      <c r="J53" s="24" t="s">
        <v>8</v>
      </c>
      <c r="K53" s="6" t="s">
        <v>2455</v>
      </c>
      <c r="L53" s="7" t="s">
        <v>2027</v>
      </c>
      <c r="M53" s="28" t="s">
        <v>717</v>
      </c>
      <c r="N53" s="19" t="s">
        <v>1812</v>
      </c>
      <c r="O53" s="19"/>
      <c r="P53" s="19"/>
      <c r="Q53" s="19"/>
      <c r="R53" s="19"/>
      <c r="S53" s="19"/>
      <c r="T53" s="7"/>
      <c r="U53" s="19"/>
      <c r="V53" s="19"/>
      <c r="W53" s="19"/>
      <c r="X53" s="19" t="s">
        <v>160</v>
      </c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7"/>
      <c r="BB53" s="7"/>
      <c r="BC53" s="7"/>
      <c r="BD53" s="7"/>
      <c r="BE53" s="7"/>
    </row>
    <row r="54" spans="1:57" s="85" customFormat="1" x14ac:dyDescent="0.25">
      <c r="A54" s="9" t="s">
        <v>707</v>
      </c>
      <c r="B54" s="39">
        <v>100011228</v>
      </c>
      <c r="C54" s="45" t="s">
        <v>713</v>
      </c>
      <c r="D54" s="40" t="s">
        <v>194</v>
      </c>
      <c r="E54" s="46" t="s">
        <v>16</v>
      </c>
      <c r="F54" s="46" t="s">
        <v>16</v>
      </c>
      <c r="G54" s="40"/>
      <c r="H54" s="9" t="s">
        <v>150</v>
      </c>
      <c r="I54" s="41" t="s">
        <v>708</v>
      </c>
      <c r="J54" s="41" t="s">
        <v>8</v>
      </c>
      <c r="K54" s="40" t="s">
        <v>124</v>
      </c>
      <c r="L54" s="7" t="s">
        <v>2682</v>
      </c>
      <c r="M54" s="7" t="s">
        <v>2653</v>
      </c>
      <c r="N54" s="19" t="s">
        <v>1114</v>
      </c>
      <c r="O54" s="19" t="s">
        <v>160</v>
      </c>
      <c r="P54" s="19" t="s">
        <v>160</v>
      </c>
      <c r="Q54" s="19"/>
      <c r="R54" s="19"/>
      <c r="S54" s="42" t="s">
        <v>160</v>
      </c>
      <c r="T54" s="19" t="s">
        <v>160</v>
      </c>
      <c r="U54" s="19"/>
      <c r="V54" s="42"/>
      <c r="W54" s="42"/>
      <c r="X54" s="42" t="s">
        <v>160</v>
      </c>
      <c r="Y54" s="42" t="s">
        <v>160</v>
      </c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 t="s">
        <v>160</v>
      </c>
      <c r="AS54" s="42" t="s">
        <v>160</v>
      </c>
      <c r="AT54" s="19" t="s">
        <v>160</v>
      </c>
      <c r="AU54" s="19" t="s">
        <v>160</v>
      </c>
      <c r="AV54" s="19" t="s">
        <v>160</v>
      </c>
      <c r="AW54" s="19" t="s">
        <v>160</v>
      </c>
      <c r="AX54" s="19" t="s">
        <v>160</v>
      </c>
      <c r="AY54" s="19" t="s">
        <v>160</v>
      </c>
      <c r="AZ54" s="42"/>
      <c r="BA54" s="42"/>
      <c r="BB54" s="42"/>
      <c r="BC54" s="42"/>
      <c r="BD54" s="42"/>
      <c r="BE54" s="42"/>
    </row>
    <row r="55" spans="1:57" s="87" customFormat="1" x14ac:dyDescent="0.25">
      <c r="A55" s="114" t="s">
        <v>2773</v>
      </c>
      <c r="B55" s="99" t="s">
        <v>2962</v>
      </c>
      <c r="C55" s="110" t="s">
        <v>713</v>
      </c>
      <c r="D55" s="153" t="s">
        <v>9</v>
      </c>
      <c r="E55" s="84" t="s">
        <v>16</v>
      </c>
      <c r="F55" s="84" t="s">
        <v>16</v>
      </c>
      <c r="G55" s="84"/>
      <c r="H55" s="94" t="s">
        <v>150</v>
      </c>
      <c r="I55" s="113" t="s">
        <v>708</v>
      </c>
      <c r="J55" s="113" t="s">
        <v>8</v>
      </c>
      <c r="K55" s="98" t="s">
        <v>124</v>
      </c>
      <c r="L55" s="102" t="s">
        <v>2682</v>
      </c>
      <c r="M55" s="105" t="s">
        <v>2653</v>
      </c>
      <c r="N55" s="108" t="s">
        <v>1114</v>
      </c>
      <c r="O55" s="108" t="s">
        <v>160</v>
      </c>
      <c r="P55" s="108" t="s">
        <v>160</v>
      </c>
      <c r="Q55" s="108"/>
      <c r="R55" s="108"/>
      <c r="S55" s="106" t="s">
        <v>160</v>
      </c>
      <c r="T55" s="108" t="s">
        <v>160</v>
      </c>
      <c r="U55" s="108"/>
      <c r="V55" s="108"/>
      <c r="W55" s="108"/>
      <c r="X55" s="108" t="s">
        <v>160</v>
      </c>
      <c r="Y55" s="108" t="s">
        <v>160</v>
      </c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 t="s">
        <v>160</v>
      </c>
      <c r="AS55" s="108" t="s">
        <v>160</v>
      </c>
      <c r="AT55" s="108" t="s">
        <v>160</v>
      </c>
      <c r="AU55" s="108" t="s">
        <v>160</v>
      </c>
      <c r="AV55" s="108" t="s">
        <v>160</v>
      </c>
      <c r="AW55" s="108" t="s">
        <v>160</v>
      </c>
      <c r="AX55" s="108" t="s">
        <v>160</v>
      </c>
      <c r="AY55" s="108" t="s">
        <v>160</v>
      </c>
      <c r="AZ55" s="108"/>
      <c r="BA55" s="108"/>
      <c r="BB55" s="108"/>
      <c r="BC55" s="108"/>
      <c r="BD55" s="108"/>
      <c r="BE55" s="108"/>
    </row>
    <row r="56" spans="1:57" s="85" customFormat="1" x14ac:dyDescent="0.25">
      <c r="A56" s="6" t="s">
        <v>8</v>
      </c>
      <c r="B56" s="26">
        <v>38007</v>
      </c>
      <c r="C56" s="23" t="s">
        <v>713</v>
      </c>
      <c r="D56" s="31" t="s">
        <v>713</v>
      </c>
      <c r="E56" s="25" t="s">
        <v>16</v>
      </c>
      <c r="F56" s="25" t="s">
        <v>16</v>
      </c>
      <c r="G56" s="25"/>
      <c r="H56" s="9" t="s">
        <v>150</v>
      </c>
      <c r="I56" s="41" t="s">
        <v>708</v>
      </c>
      <c r="J56" s="41" t="s">
        <v>8</v>
      </c>
      <c r="K56" s="10" t="s">
        <v>124</v>
      </c>
      <c r="L56" s="24" t="s">
        <v>2682</v>
      </c>
      <c r="M56" s="7" t="s">
        <v>2653</v>
      </c>
      <c r="N56" s="19" t="s">
        <v>1114</v>
      </c>
      <c r="O56" s="19" t="s">
        <v>160</v>
      </c>
      <c r="P56" s="19" t="s">
        <v>160</v>
      </c>
      <c r="Q56" s="19"/>
      <c r="R56" s="19"/>
      <c r="S56" s="42" t="s">
        <v>160</v>
      </c>
      <c r="T56" s="19" t="s">
        <v>160</v>
      </c>
      <c r="U56" s="19"/>
      <c r="V56" s="19"/>
      <c r="W56" s="19"/>
      <c r="X56" s="19" t="s">
        <v>160</v>
      </c>
      <c r="Y56" s="19" t="s">
        <v>160</v>
      </c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 t="s">
        <v>160</v>
      </c>
      <c r="AS56" s="19" t="s">
        <v>160</v>
      </c>
      <c r="AT56" s="19" t="s">
        <v>160</v>
      </c>
      <c r="AU56" s="19" t="s">
        <v>160</v>
      </c>
      <c r="AV56" s="19" t="s">
        <v>160</v>
      </c>
      <c r="AW56" s="19" t="s">
        <v>160</v>
      </c>
      <c r="AX56" s="19" t="s">
        <v>160</v>
      </c>
      <c r="AY56" s="19" t="s">
        <v>160</v>
      </c>
      <c r="AZ56" s="19"/>
      <c r="BA56" s="19"/>
      <c r="BB56" s="19"/>
      <c r="BC56" s="19"/>
      <c r="BD56" s="19"/>
      <c r="BE56" s="19"/>
    </row>
    <row r="57" spans="1:57" s="85" customFormat="1" x14ac:dyDescent="0.25">
      <c r="A57" s="9" t="s">
        <v>706</v>
      </c>
      <c r="B57" s="38">
        <v>17</v>
      </c>
      <c r="C57" s="56" t="s">
        <v>713</v>
      </c>
      <c r="D57" s="62" t="s">
        <v>9</v>
      </c>
      <c r="E57" s="3" t="s">
        <v>16</v>
      </c>
      <c r="F57" s="3" t="s">
        <v>16</v>
      </c>
      <c r="G57" s="3"/>
      <c r="H57" s="9" t="s">
        <v>150</v>
      </c>
      <c r="I57" s="41" t="s">
        <v>708</v>
      </c>
      <c r="J57" s="41" t="s">
        <v>8</v>
      </c>
      <c r="K57" s="9" t="s">
        <v>124</v>
      </c>
      <c r="L57" s="7" t="s">
        <v>2682</v>
      </c>
      <c r="M57" s="7" t="s">
        <v>2653</v>
      </c>
      <c r="N57" s="19" t="s">
        <v>1114</v>
      </c>
      <c r="O57" s="19" t="s">
        <v>160</v>
      </c>
      <c r="P57" s="19" t="s">
        <v>160</v>
      </c>
      <c r="Q57" s="19"/>
      <c r="R57" s="19"/>
      <c r="S57" s="42" t="s">
        <v>160</v>
      </c>
      <c r="T57" s="19" t="s">
        <v>160</v>
      </c>
      <c r="U57" s="19"/>
      <c r="V57" s="19"/>
      <c r="W57" s="19"/>
      <c r="X57" s="19" t="s">
        <v>160</v>
      </c>
      <c r="Y57" s="19" t="s">
        <v>160</v>
      </c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 t="s">
        <v>160</v>
      </c>
      <c r="AS57" s="19" t="s">
        <v>160</v>
      </c>
      <c r="AT57" s="19" t="s">
        <v>160</v>
      </c>
      <c r="AU57" s="19" t="s">
        <v>160</v>
      </c>
      <c r="AV57" s="19" t="s">
        <v>160</v>
      </c>
      <c r="AW57" s="19" t="s">
        <v>160</v>
      </c>
      <c r="AX57" s="19" t="s">
        <v>160</v>
      </c>
      <c r="AY57" s="19" t="s">
        <v>160</v>
      </c>
      <c r="AZ57" s="19"/>
      <c r="BA57" s="19"/>
      <c r="BB57" s="19"/>
      <c r="BC57" s="19"/>
      <c r="BD57" s="19"/>
      <c r="BE57" s="19"/>
    </row>
    <row r="58" spans="1:57" s="85" customFormat="1" x14ac:dyDescent="0.25">
      <c r="A58" s="6" t="s">
        <v>8</v>
      </c>
      <c r="B58" s="9">
        <v>84340</v>
      </c>
      <c r="C58" s="9" t="s">
        <v>2396</v>
      </c>
      <c r="D58" s="9" t="s">
        <v>1366</v>
      </c>
      <c r="E58" s="3">
        <v>58.570999999999998</v>
      </c>
      <c r="F58" s="3">
        <v>14.557</v>
      </c>
      <c r="G58" s="9">
        <v>88.5</v>
      </c>
      <c r="H58" s="9" t="s">
        <v>1367</v>
      </c>
      <c r="I58" s="21" t="s">
        <v>8</v>
      </c>
      <c r="J58" s="21" t="s">
        <v>8</v>
      </c>
      <c r="K58" s="3" t="s">
        <v>5</v>
      </c>
      <c r="L58" s="5" t="s">
        <v>2680</v>
      </c>
      <c r="M58" s="7" t="s">
        <v>2653</v>
      </c>
      <c r="N58" s="19" t="s">
        <v>1702</v>
      </c>
      <c r="O58" s="19"/>
      <c r="P58" s="19" t="s">
        <v>160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 t="s">
        <v>160</v>
      </c>
      <c r="AS58" s="19" t="s">
        <v>160</v>
      </c>
      <c r="AT58" s="19" t="s">
        <v>160</v>
      </c>
      <c r="AU58" s="19" t="s">
        <v>160</v>
      </c>
      <c r="AV58" s="19" t="s">
        <v>160</v>
      </c>
      <c r="AW58" s="19" t="s">
        <v>160</v>
      </c>
      <c r="AX58" s="19" t="s">
        <v>160</v>
      </c>
      <c r="AY58" s="19" t="s">
        <v>160</v>
      </c>
      <c r="AZ58" s="19" t="s">
        <v>160</v>
      </c>
      <c r="BA58" s="19" t="s">
        <v>160</v>
      </c>
      <c r="BB58" s="19"/>
      <c r="BC58" s="19"/>
      <c r="BD58" s="19"/>
      <c r="BE58" s="19"/>
    </row>
    <row r="59" spans="1:57" s="85" customFormat="1" x14ac:dyDescent="0.25">
      <c r="A59" s="9" t="s">
        <v>8</v>
      </c>
      <c r="B59" s="27">
        <v>37322</v>
      </c>
      <c r="C59" s="28" t="s">
        <v>1877</v>
      </c>
      <c r="D59" s="28" t="s">
        <v>1780</v>
      </c>
      <c r="E59" s="25">
        <v>55.3</v>
      </c>
      <c r="F59" s="25">
        <v>12.666700000000001</v>
      </c>
      <c r="G59" s="3"/>
      <c r="H59" s="10" t="s">
        <v>150</v>
      </c>
      <c r="I59" s="10" t="s">
        <v>8</v>
      </c>
      <c r="J59" s="24" t="s">
        <v>8</v>
      </c>
      <c r="K59" s="6" t="s">
        <v>2455</v>
      </c>
      <c r="L59" s="7" t="s">
        <v>2027</v>
      </c>
      <c r="M59" s="28" t="s">
        <v>717</v>
      </c>
      <c r="N59" s="19" t="s">
        <v>1863</v>
      </c>
      <c r="O59" s="19"/>
      <c r="P59" s="19"/>
      <c r="Q59" s="19"/>
      <c r="R59" s="19"/>
      <c r="S59" s="19"/>
      <c r="T59" s="7"/>
      <c r="U59" s="19"/>
      <c r="V59" s="19"/>
      <c r="W59" s="19"/>
      <c r="X59" s="19" t="s">
        <v>160</v>
      </c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7"/>
      <c r="BB59" s="7"/>
      <c r="BC59" s="7"/>
      <c r="BD59" s="7"/>
      <c r="BE59" s="7"/>
    </row>
    <row r="60" spans="1:57" s="85" customFormat="1" x14ac:dyDescent="0.25">
      <c r="A60" s="9" t="s">
        <v>8</v>
      </c>
      <c r="B60" s="27">
        <v>37323</v>
      </c>
      <c r="C60" s="28" t="s">
        <v>1878</v>
      </c>
      <c r="D60" s="28" t="s">
        <v>1781</v>
      </c>
      <c r="E60" s="25">
        <v>55.533299999999997</v>
      </c>
      <c r="F60" s="25">
        <v>12.716699999999999</v>
      </c>
      <c r="G60" s="3"/>
      <c r="H60" s="10" t="s">
        <v>150</v>
      </c>
      <c r="I60" s="10" t="s">
        <v>8</v>
      </c>
      <c r="J60" s="24" t="s">
        <v>8</v>
      </c>
      <c r="K60" s="6" t="s">
        <v>2455</v>
      </c>
      <c r="L60" s="7" t="s">
        <v>2027</v>
      </c>
      <c r="M60" s="28" t="s">
        <v>717</v>
      </c>
      <c r="N60" s="19"/>
      <c r="O60" s="19"/>
      <c r="P60" s="19"/>
      <c r="Q60" s="19"/>
      <c r="R60" s="19"/>
      <c r="S60" s="19"/>
      <c r="T60" s="7"/>
      <c r="U60" s="19"/>
      <c r="V60" s="19"/>
      <c r="W60" s="19"/>
      <c r="X60" s="19" t="s">
        <v>160</v>
      </c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7"/>
      <c r="BB60" s="7"/>
      <c r="BC60" s="7"/>
      <c r="BD60" s="7"/>
      <c r="BE60" s="7"/>
    </row>
    <row r="61" spans="1:57" s="85" customFormat="1" x14ac:dyDescent="0.25">
      <c r="A61" s="9" t="s">
        <v>8</v>
      </c>
      <c r="B61" s="27">
        <v>37324</v>
      </c>
      <c r="C61" s="28" t="s">
        <v>1879</v>
      </c>
      <c r="D61" s="28" t="s">
        <v>1782</v>
      </c>
      <c r="E61" s="25">
        <v>55.716700000000003</v>
      </c>
      <c r="F61" s="25">
        <v>12.683299999999999</v>
      </c>
      <c r="G61" s="3"/>
      <c r="H61" s="10" t="s">
        <v>150</v>
      </c>
      <c r="I61" s="10" t="s">
        <v>8</v>
      </c>
      <c r="J61" s="24" t="s">
        <v>8</v>
      </c>
      <c r="K61" s="6" t="s">
        <v>2455</v>
      </c>
      <c r="L61" s="7" t="s">
        <v>2027</v>
      </c>
      <c r="M61" s="28" t="s">
        <v>717</v>
      </c>
      <c r="N61" s="19"/>
      <c r="O61" s="19"/>
      <c r="P61" s="19"/>
      <c r="Q61" s="19"/>
      <c r="R61" s="19"/>
      <c r="S61" s="19"/>
      <c r="T61" s="7"/>
      <c r="U61" s="19"/>
      <c r="V61" s="19"/>
      <c r="W61" s="19"/>
      <c r="X61" s="19" t="s">
        <v>160</v>
      </c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7"/>
      <c r="BB61" s="7"/>
      <c r="BC61" s="7"/>
      <c r="BD61" s="7"/>
      <c r="BE61" s="7"/>
    </row>
    <row r="62" spans="1:57" s="85" customFormat="1" x14ac:dyDescent="0.25">
      <c r="A62" s="9" t="s">
        <v>8</v>
      </c>
      <c r="B62" s="27">
        <v>37325</v>
      </c>
      <c r="C62" s="28" t="s">
        <v>1880</v>
      </c>
      <c r="D62" s="28" t="s">
        <v>1783</v>
      </c>
      <c r="E62" s="25">
        <v>56.0167</v>
      </c>
      <c r="F62" s="25">
        <v>12.666700000000001</v>
      </c>
      <c r="G62" s="3"/>
      <c r="H62" s="10" t="s">
        <v>150</v>
      </c>
      <c r="I62" s="10" t="s">
        <v>8</v>
      </c>
      <c r="J62" s="24" t="s">
        <v>8</v>
      </c>
      <c r="K62" s="6" t="s">
        <v>2455</v>
      </c>
      <c r="L62" s="7" t="s">
        <v>2027</v>
      </c>
      <c r="M62" s="28" t="s">
        <v>717</v>
      </c>
      <c r="N62" s="19"/>
      <c r="O62" s="19"/>
      <c r="P62" s="19"/>
      <c r="Q62" s="19"/>
      <c r="R62" s="19"/>
      <c r="S62" s="19"/>
      <c r="T62" s="7"/>
      <c r="U62" s="19"/>
      <c r="V62" s="19"/>
      <c r="W62" s="19"/>
      <c r="X62" s="19" t="s">
        <v>160</v>
      </c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7"/>
      <c r="BB62" s="7"/>
      <c r="BC62" s="7"/>
      <c r="BD62" s="7"/>
      <c r="BE62" s="7"/>
    </row>
    <row r="63" spans="1:57" s="87" customFormat="1" x14ac:dyDescent="0.25">
      <c r="A63" s="98" t="s">
        <v>2773</v>
      </c>
      <c r="B63" s="135">
        <v>2112</v>
      </c>
      <c r="C63" s="98" t="s">
        <v>1276</v>
      </c>
      <c r="D63" s="98" t="s">
        <v>1245</v>
      </c>
      <c r="E63" s="189">
        <f>58+22/60+12/3600</f>
        <v>58.37</v>
      </c>
      <c r="F63" s="189">
        <f>11+15/60</f>
        <v>11.25</v>
      </c>
      <c r="G63" s="101"/>
      <c r="H63" s="98" t="s">
        <v>150</v>
      </c>
      <c r="I63" s="98" t="s">
        <v>8</v>
      </c>
      <c r="J63" s="102" t="s">
        <v>8</v>
      </c>
      <c r="K63" s="98" t="s">
        <v>6</v>
      </c>
      <c r="L63" s="102" t="s">
        <v>2030</v>
      </c>
      <c r="M63" s="102" t="s">
        <v>717</v>
      </c>
      <c r="N63" s="104" t="s">
        <v>1323</v>
      </c>
      <c r="O63" s="104"/>
      <c r="P63" s="104"/>
      <c r="Q63" s="103" t="s">
        <v>1610</v>
      </c>
      <c r="R63" s="107" t="s">
        <v>1587</v>
      </c>
      <c r="S63" s="106"/>
      <c r="T63" s="103"/>
      <c r="U63" s="104">
        <v>4</v>
      </c>
      <c r="V63" s="103" t="s">
        <v>160</v>
      </c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</row>
    <row r="64" spans="1:57" s="53" customFormat="1" x14ac:dyDescent="0.25">
      <c r="A64" s="10" t="s">
        <v>8</v>
      </c>
      <c r="B64" s="155">
        <v>2112</v>
      </c>
      <c r="C64" s="10" t="s">
        <v>1276</v>
      </c>
      <c r="D64" s="10" t="s">
        <v>1245</v>
      </c>
      <c r="E64" s="195">
        <v>58.37</v>
      </c>
      <c r="F64" s="195">
        <v>11.25</v>
      </c>
      <c r="G64" s="30"/>
      <c r="H64" s="10" t="s">
        <v>150</v>
      </c>
      <c r="I64" s="10" t="s">
        <v>8</v>
      </c>
      <c r="J64" s="24" t="s">
        <v>8</v>
      </c>
      <c r="K64" s="10" t="s">
        <v>6</v>
      </c>
      <c r="L64" s="24" t="s">
        <v>2030</v>
      </c>
      <c r="M64" s="24" t="s">
        <v>717</v>
      </c>
      <c r="N64" s="22" t="s">
        <v>1323</v>
      </c>
      <c r="O64" s="22"/>
      <c r="P64" s="22"/>
      <c r="Q64" s="20" t="s">
        <v>1610</v>
      </c>
      <c r="R64" s="44" t="s">
        <v>1587</v>
      </c>
      <c r="S64" s="42"/>
      <c r="T64" s="20"/>
      <c r="U64" s="22">
        <v>4</v>
      </c>
      <c r="V64" s="20" t="s">
        <v>160</v>
      </c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</row>
    <row r="65" spans="1:57" s="87" customFormat="1" x14ac:dyDescent="0.25">
      <c r="A65" s="98" t="s">
        <v>2773</v>
      </c>
      <c r="B65" s="135">
        <v>2101</v>
      </c>
      <c r="C65" s="98" t="s">
        <v>1273</v>
      </c>
      <c r="D65" s="98" t="s">
        <v>1241</v>
      </c>
      <c r="E65" s="189">
        <f>55+54/60+36/3600</f>
        <v>55.91</v>
      </c>
      <c r="F65" s="189">
        <f>12+43/60+12/3600</f>
        <v>12.72</v>
      </c>
      <c r="G65" s="101"/>
      <c r="H65" s="98" t="s">
        <v>150</v>
      </c>
      <c r="I65" s="98" t="s">
        <v>8</v>
      </c>
      <c r="J65" s="102" t="s">
        <v>8</v>
      </c>
      <c r="K65" s="98" t="s">
        <v>6</v>
      </c>
      <c r="L65" s="102" t="s">
        <v>2030</v>
      </c>
      <c r="M65" s="102" t="s">
        <v>717</v>
      </c>
      <c r="N65" s="104" t="s">
        <v>1319</v>
      </c>
      <c r="O65" s="104"/>
      <c r="P65" s="104"/>
      <c r="Q65" s="103" t="s">
        <v>1613</v>
      </c>
      <c r="R65" s="103"/>
      <c r="S65" s="106"/>
      <c r="T65" s="103"/>
      <c r="U65" s="104">
        <v>4</v>
      </c>
      <c r="V65" s="103" t="s">
        <v>160</v>
      </c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</row>
    <row r="66" spans="1:57" s="53" customFormat="1" x14ac:dyDescent="0.25">
      <c r="A66" s="10" t="s">
        <v>8</v>
      </c>
      <c r="B66" s="155">
        <v>2101</v>
      </c>
      <c r="C66" s="10" t="s">
        <v>1273</v>
      </c>
      <c r="D66" s="10" t="s">
        <v>1241</v>
      </c>
      <c r="E66" s="195">
        <v>55.91</v>
      </c>
      <c r="F66" s="195">
        <v>12.72</v>
      </c>
      <c r="G66" s="30"/>
      <c r="H66" s="10" t="s">
        <v>150</v>
      </c>
      <c r="I66" s="10" t="s">
        <v>8</v>
      </c>
      <c r="J66" s="24" t="s">
        <v>8</v>
      </c>
      <c r="K66" s="10" t="s">
        <v>6</v>
      </c>
      <c r="L66" s="24" t="s">
        <v>2030</v>
      </c>
      <c r="M66" s="24" t="s">
        <v>717</v>
      </c>
      <c r="N66" s="22" t="s">
        <v>1319</v>
      </c>
      <c r="O66" s="22"/>
      <c r="P66" s="22"/>
      <c r="Q66" s="20" t="s">
        <v>1613</v>
      </c>
      <c r="R66" s="20"/>
      <c r="S66" s="42"/>
      <c r="T66" s="20"/>
      <c r="U66" s="22">
        <v>4</v>
      </c>
      <c r="V66" s="20" t="s">
        <v>160</v>
      </c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57" s="85" customFormat="1" x14ac:dyDescent="0.25">
      <c r="A67" s="9" t="s">
        <v>707</v>
      </c>
      <c r="B67" s="137">
        <v>100011160</v>
      </c>
      <c r="C67" s="23" t="s">
        <v>837</v>
      </c>
      <c r="D67" s="40" t="s">
        <v>196</v>
      </c>
      <c r="E67" s="46" t="s">
        <v>198</v>
      </c>
      <c r="F67" s="46" t="s">
        <v>197</v>
      </c>
      <c r="G67" s="40"/>
      <c r="H67" s="9" t="s">
        <v>150</v>
      </c>
      <c r="I67" s="41" t="s">
        <v>8</v>
      </c>
      <c r="J67" s="41" t="s">
        <v>8</v>
      </c>
      <c r="K67" s="40" t="s">
        <v>6</v>
      </c>
      <c r="L67" s="41" t="s">
        <v>2030</v>
      </c>
      <c r="M67" s="7" t="s">
        <v>2653</v>
      </c>
      <c r="N67" s="42" t="s">
        <v>1117</v>
      </c>
      <c r="O67" s="42"/>
      <c r="P67" s="42" t="s">
        <v>160</v>
      </c>
      <c r="Q67" s="44" t="s">
        <v>1150</v>
      </c>
      <c r="R67" s="44" t="s">
        <v>1585</v>
      </c>
      <c r="S67" s="42" t="s">
        <v>160</v>
      </c>
      <c r="T67" s="19" t="s">
        <v>160</v>
      </c>
      <c r="U67" s="19">
        <v>1</v>
      </c>
      <c r="V67" s="42" t="s">
        <v>160</v>
      </c>
      <c r="W67" s="42" t="s">
        <v>160</v>
      </c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19"/>
      <c r="AU67" s="19"/>
      <c r="AV67" s="19"/>
      <c r="AW67" s="19"/>
      <c r="AX67" s="19"/>
      <c r="AY67" s="19"/>
      <c r="AZ67" s="42"/>
      <c r="BA67" s="42"/>
      <c r="BB67" s="42"/>
      <c r="BC67" s="42"/>
      <c r="BD67" s="42"/>
      <c r="BE67" s="42"/>
    </row>
    <row r="68" spans="1:57" s="53" customFormat="1" x14ac:dyDescent="0.25">
      <c r="A68" s="53" t="s">
        <v>2763</v>
      </c>
      <c r="B68" s="138">
        <v>2099</v>
      </c>
      <c r="C68" s="53" t="s">
        <v>837</v>
      </c>
      <c r="D68" s="53" t="s">
        <v>172</v>
      </c>
      <c r="E68" s="35">
        <v>55.756388999999999</v>
      </c>
      <c r="F68" s="35">
        <v>12.903333</v>
      </c>
      <c r="H68" s="10" t="s">
        <v>150</v>
      </c>
      <c r="I68" s="7" t="s">
        <v>8</v>
      </c>
      <c r="J68" s="53" t="s">
        <v>8</v>
      </c>
      <c r="K68" s="53" t="s">
        <v>6</v>
      </c>
      <c r="L68" s="53" t="s">
        <v>2030</v>
      </c>
      <c r="M68" s="53" t="s">
        <v>2653</v>
      </c>
      <c r="N68" s="117" t="s">
        <v>1117</v>
      </c>
      <c r="P68" s="42" t="s">
        <v>160</v>
      </c>
      <c r="Q68" s="44" t="s">
        <v>1150</v>
      </c>
      <c r="R68" s="44" t="s">
        <v>1585</v>
      </c>
      <c r="S68" s="42" t="s">
        <v>160</v>
      </c>
      <c r="T68" s="19" t="s">
        <v>160</v>
      </c>
      <c r="U68" s="19">
        <v>1</v>
      </c>
      <c r="V68" s="42" t="s">
        <v>160</v>
      </c>
      <c r="W68" s="42" t="s">
        <v>160</v>
      </c>
    </row>
    <row r="69" spans="1:57" s="87" customFormat="1" x14ac:dyDescent="0.25">
      <c r="A69" s="98" t="s">
        <v>2773</v>
      </c>
      <c r="B69" s="139" t="s">
        <v>2775</v>
      </c>
      <c r="C69" s="110" t="s">
        <v>837</v>
      </c>
      <c r="D69" s="153" t="s">
        <v>172</v>
      </c>
      <c r="E69" s="82">
        <f>55+45/60+23.04/3600</f>
        <v>55.756399999999999</v>
      </c>
      <c r="F69" s="82">
        <f>12+54/60+12.276/3600</f>
        <v>12.903410000000001</v>
      </c>
      <c r="G69" s="81"/>
      <c r="H69" s="105" t="s">
        <v>150</v>
      </c>
      <c r="I69" s="105" t="s">
        <v>8</v>
      </c>
      <c r="J69" s="105" t="s">
        <v>8</v>
      </c>
      <c r="K69" s="105" t="s">
        <v>6</v>
      </c>
      <c r="L69" s="105" t="s">
        <v>2030</v>
      </c>
      <c r="M69" s="105" t="s">
        <v>2653</v>
      </c>
      <c r="N69" s="106" t="s">
        <v>1117</v>
      </c>
      <c r="O69" s="106"/>
      <c r="P69" s="106" t="s">
        <v>160</v>
      </c>
      <c r="Q69" s="107" t="s">
        <v>1150</v>
      </c>
      <c r="R69" s="107" t="s">
        <v>1585</v>
      </c>
      <c r="S69" s="106" t="s">
        <v>160</v>
      </c>
      <c r="T69" s="108" t="s">
        <v>160</v>
      </c>
      <c r="U69" s="106">
        <v>1</v>
      </c>
      <c r="V69" s="103" t="s">
        <v>160</v>
      </c>
      <c r="W69" s="103" t="s">
        <v>160</v>
      </c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23"/>
      <c r="AS69" s="12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</row>
    <row r="70" spans="1:57" s="53" customFormat="1" x14ac:dyDescent="0.25">
      <c r="A70" s="10" t="s">
        <v>8</v>
      </c>
      <c r="B70" s="142" t="s">
        <v>2863</v>
      </c>
      <c r="C70" s="23" t="s">
        <v>837</v>
      </c>
      <c r="D70" t="s">
        <v>172</v>
      </c>
      <c r="E70" s="193">
        <v>55.756500000000003</v>
      </c>
      <c r="F70" s="193">
        <v>12.9034</v>
      </c>
      <c r="G70" s="43"/>
      <c r="H70" s="7" t="s">
        <v>150</v>
      </c>
      <c r="I70" s="7" t="s">
        <v>8</v>
      </c>
      <c r="J70" s="7" t="s">
        <v>8</v>
      </c>
      <c r="K70" s="7" t="s">
        <v>6</v>
      </c>
      <c r="L70" s="7" t="s">
        <v>2030</v>
      </c>
      <c r="M70" s="7" t="s">
        <v>2653</v>
      </c>
      <c r="N70" s="42" t="s">
        <v>1117</v>
      </c>
      <c r="O70" s="42"/>
      <c r="P70" s="42" t="s">
        <v>160</v>
      </c>
      <c r="Q70" s="44" t="s">
        <v>1150</v>
      </c>
      <c r="R70" s="44" t="s">
        <v>1585</v>
      </c>
      <c r="S70" s="42" t="s">
        <v>160</v>
      </c>
      <c r="T70" s="19" t="s">
        <v>160</v>
      </c>
      <c r="U70" s="42">
        <v>1</v>
      </c>
      <c r="V70" s="20" t="s">
        <v>160</v>
      </c>
      <c r="W70" s="20" t="s">
        <v>160</v>
      </c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56"/>
      <c r="AS70" s="156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</row>
    <row r="71" spans="1:57" s="85" customFormat="1" x14ac:dyDescent="0.25">
      <c r="A71" s="9" t="s">
        <v>706</v>
      </c>
      <c r="B71" s="140">
        <v>25</v>
      </c>
      <c r="C71" s="23" t="s">
        <v>837</v>
      </c>
      <c r="D71" s="62" t="s">
        <v>172</v>
      </c>
      <c r="E71" s="35">
        <f>55+44/60+45/3600</f>
        <v>55.745833333333337</v>
      </c>
      <c r="F71" s="35">
        <f>12+55/60+0/3600</f>
        <v>12.916666666666666</v>
      </c>
      <c r="G71" s="43"/>
      <c r="H71" s="9" t="s">
        <v>150</v>
      </c>
      <c r="I71" s="41" t="s">
        <v>8</v>
      </c>
      <c r="J71" s="7" t="s">
        <v>8</v>
      </c>
      <c r="K71" s="9" t="s">
        <v>6</v>
      </c>
      <c r="L71" s="7" t="s">
        <v>2030</v>
      </c>
      <c r="M71" s="7" t="s">
        <v>2653</v>
      </c>
      <c r="N71" s="42" t="s">
        <v>1117</v>
      </c>
      <c r="O71" s="42"/>
      <c r="P71" s="42" t="s">
        <v>160</v>
      </c>
      <c r="Q71" s="44" t="s">
        <v>1150</v>
      </c>
      <c r="R71" s="44" t="s">
        <v>1585</v>
      </c>
      <c r="S71" s="42" t="s">
        <v>160</v>
      </c>
      <c r="T71" s="19" t="s">
        <v>160</v>
      </c>
      <c r="U71" s="19">
        <v>1</v>
      </c>
      <c r="V71" s="19" t="s">
        <v>160</v>
      </c>
      <c r="W71" s="19" t="s">
        <v>160</v>
      </c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</row>
    <row r="72" spans="1:57" s="85" customFormat="1" x14ac:dyDescent="0.25">
      <c r="A72" s="9" t="s">
        <v>707</v>
      </c>
      <c r="B72" s="39">
        <v>100008872</v>
      </c>
      <c r="C72" s="45" t="s">
        <v>2731</v>
      </c>
      <c r="D72" s="40" t="s">
        <v>3037</v>
      </c>
      <c r="E72" s="46" t="s">
        <v>2204</v>
      </c>
      <c r="F72" s="46" t="s">
        <v>2205</v>
      </c>
      <c r="G72" s="40"/>
      <c r="H72" s="9" t="s">
        <v>150</v>
      </c>
      <c r="I72" s="41" t="s">
        <v>195</v>
      </c>
      <c r="J72" s="41" t="s">
        <v>169</v>
      </c>
      <c r="K72" s="40" t="s">
        <v>5</v>
      </c>
      <c r="L72" s="41" t="s">
        <v>2043</v>
      </c>
      <c r="M72" s="7" t="s">
        <v>2653</v>
      </c>
      <c r="N72" s="19"/>
      <c r="O72" s="19"/>
      <c r="P72" s="19"/>
      <c r="Q72" s="19"/>
      <c r="R72" s="19"/>
      <c r="S72" s="42"/>
      <c r="T72" s="19"/>
      <c r="U72" s="19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 t="s">
        <v>160</v>
      </c>
      <c r="AS72" s="42" t="s">
        <v>160</v>
      </c>
      <c r="AT72" s="19"/>
      <c r="AU72" s="19"/>
      <c r="AV72" s="19"/>
      <c r="AW72" s="19"/>
      <c r="AX72" s="19"/>
      <c r="AY72" s="19"/>
      <c r="AZ72" s="42"/>
      <c r="BA72" s="42"/>
      <c r="BB72" s="42"/>
      <c r="BC72" s="42"/>
      <c r="BD72" s="42"/>
      <c r="BE72" s="42"/>
    </row>
    <row r="73" spans="1:57" s="94" customFormat="1" x14ac:dyDescent="0.25">
      <c r="A73" s="94" t="s">
        <v>2773</v>
      </c>
      <c r="B73" s="115" t="s">
        <v>3035</v>
      </c>
      <c r="C73" s="99" t="s">
        <v>2731</v>
      </c>
      <c r="D73" s="153" t="s">
        <v>172</v>
      </c>
      <c r="E73" s="83">
        <f>55+44.7503/60</f>
        <v>55.745838333333332</v>
      </c>
      <c r="F73" s="83">
        <f>12+55.0079/60</f>
        <v>12.916798333333332</v>
      </c>
      <c r="G73" s="112"/>
      <c r="H73" s="94" t="s">
        <v>150</v>
      </c>
      <c r="I73" s="113" t="s">
        <v>195</v>
      </c>
      <c r="J73" s="112" t="s">
        <v>169</v>
      </c>
      <c r="K73" s="112" t="s">
        <v>5</v>
      </c>
      <c r="L73" s="112" t="s">
        <v>2043</v>
      </c>
      <c r="M73" s="94" t="s">
        <v>2653</v>
      </c>
      <c r="N73" s="129"/>
      <c r="O73" s="129"/>
      <c r="P73" s="129"/>
      <c r="Q73" s="177"/>
      <c r="R73" s="177"/>
      <c r="S73" s="129"/>
      <c r="T73" s="130"/>
      <c r="U73" s="130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 t="s">
        <v>160</v>
      </c>
      <c r="AS73" s="129" t="s">
        <v>160</v>
      </c>
      <c r="AT73" s="130"/>
      <c r="AU73" s="130"/>
      <c r="AV73" s="130"/>
      <c r="AW73" s="130"/>
      <c r="AX73" s="130"/>
      <c r="AY73" s="130"/>
      <c r="AZ73" s="129"/>
      <c r="BA73" s="129"/>
      <c r="BB73" s="129"/>
      <c r="BC73" s="129"/>
      <c r="BD73" s="129"/>
      <c r="BE73" s="129"/>
    </row>
    <row r="74" spans="1:57" s="2" customFormat="1" x14ac:dyDescent="0.25">
      <c r="A74" s="9" t="s">
        <v>8</v>
      </c>
      <c r="B74" s="58" t="s">
        <v>875</v>
      </c>
      <c r="C74" s="26" t="s">
        <v>2731</v>
      </c>
      <c r="D74" s="40" t="s">
        <v>172</v>
      </c>
      <c r="E74" s="52">
        <f>55+44.7503/60</f>
        <v>55.745838333333332</v>
      </c>
      <c r="F74" s="52">
        <f>12+55.0079/60</f>
        <v>12.916798333333332</v>
      </c>
      <c r="G74" s="40"/>
      <c r="H74" s="9" t="s">
        <v>150</v>
      </c>
      <c r="I74" s="41" t="s">
        <v>195</v>
      </c>
      <c r="J74" s="40" t="s">
        <v>169</v>
      </c>
      <c r="K74" s="40" t="s">
        <v>5</v>
      </c>
      <c r="L74" s="40" t="s">
        <v>2043</v>
      </c>
      <c r="M74" s="9" t="s">
        <v>2653</v>
      </c>
      <c r="N74" s="95"/>
      <c r="O74" s="95"/>
      <c r="P74" s="95"/>
      <c r="Q74" s="96"/>
      <c r="R74" s="96"/>
      <c r="S74" s="95"/>
      <c r="T74" s="4"/>
      <c r="U74" s="4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 t="s">
        <v>160</v>
      </c>
      <c r="AS74" s="95" t="s">
        <v>160</v>
      </c>
      <c r="AT74" s="4"/>
      <c r="AU74" s="4"/>
      <c r="AV74" s="4"/>
      <c r="AW74" s="4"/>
      <c r="AX74" s="4"/>
      <c r="AY74" s="4"/>
      <c r="AZ74" s="95"/>
      <c r="BA74" s="95"/>
      <c r="BB74" s="95"/>
      <c r="BC74" s="95"/>
      <c r="BD74" s="95"/>
      <c r="BE74" s="95"/>
    </row>
    <row r="75" spans="1:57" s="85" customFormat="1" x14ac:dyDescent="0.25">
      <c r="A75" s="9" t="s">
        <v>706</v>
      </c>
      <c r="B75" s="140">
        <v>25</v>
      </c>
      <c r="C75" s="23" t="s">
        <v>2731</v>
      </c>
      <c r="D75" s="62" t="s">
        <v>172</v>
      </c>
      <c r="E75" s="5">
        <f>55+44/60+45/3600</f>
        <v>55.745833333333337</v>
      </c>
      <c r="F75" s="5">
        <f>12+55/60+0/3600</f>
        <v>12.916666666666666</v>
      </c>
      <c r="G75" s="43"/>
      <c r="H75" s="9" t="s">
        <v>150</v>
      </c>
      <c r="I75" s="41" t="s">
        <v>195</v>
      </c>
      <c r="J75" s="40" t="s">
        <v>169</v>
      </c>
      <c r="K75" s="9" t="s">
        <v>5</v>
      </c>
      <c r="L75" s="7" t="s">
        <v>2043</v>
      </c>
      <c r="M75" s="7" t="s">
        <v>2653</v>
      </c>
      <c r="N75" s="42"/>
      <c r="O75" s="42"/>
      <c r="P75" s="42"/>
      <c r="Q75" s="44"/>
      <c r="R75" s="44"/>
      <c r="S75" s="42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 t="s">
        <v>160</v>
      </c>
      <c r="AS75" s="19" t="s">
        <v>160</v>
      </c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</row>
    <row r="76" spans="1:57" s="87" customFormat="1" x14ac:dyDescent="0.25">
      <c r="A76" s="98" t="s">
        <v>2773</v>
      </c>
      <c r="B76" s="135">
        <v>30492</v>
      </c>
      <c r="C76" s="98" t="s">
        <v>1327</v>
      </c>
      <c r="D76" s="98" t="s">
        <v>1239</v>
      </c>
      <c r="E76" s="189">
        <f>55+45/60</f>
        <v>55.75</v>
      </c>
      <c r="F76" s="189">
        <f>12+54/60+36/3600</f>
        <v>12.91</v>
      </c>
      <c r="G76" s="101"/>
      <c r="H76" s="98" t="s">
        <v>150</v>
      </c>
      <c r="I76" s="98" t="s">
        <v>8</v>
      </c>
      <c r="J76" s="102" t="s">
        <v>8</v>
      </c>
      <c r="K76" s="98" t="s">
        <v>6</v>
      </c>
      <c r="L76" s="102" t="s">
        <v>2030</v>
      </c>
      <c r="M76" s="102" t="s">
        <v>717</v>
      </c>
      <c r="N76" s="104" t="s">
        <v>1317</v>
      </c>
      <c r="O76" s="104"/>
      <c r="P76" s="104"/>
      <c r="Q76" s="103" t="s">
        <v>1633</v>
      </c>
      <c r="R76" s="103"/>
      <c r="S76" s="106"/>
      <c r="T76" s="103"/>
      <c r="U76" s="104">
        <v>4</v>
      </c>
      <c r="V76" s="103" t="s">
        <v>160</v>
      </c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</row>
    <row r="77" spans="1:57" s="53" customFormat="1" x14ac:dyDescent="0.25">
      <c r="A77" s="10" t="s">
        <v>8</v>
      </c>
      <c r="B77" s="155">
        <v>30492</v>
      </c>
      <c r="C77" s="10" t="s">
        <v>1327</v>
      </c>
      <c r="D77" s="10" t="s">
        <v>1239</v>
      </c>
      <c r="E77" s="195">
        <v>55.75</v>
      </c>
      <c r="F77" s="195">
        <v>12.91</v>
      </c>
      <c r="G77" s="30"/>
      <c r="H77" s="10" t="s">
        <v>150</v>
      </c>
      <c r="I77" s="10" t="s">
        <v>8</v>
      </c>
      <c r="J77" s="24" t="s">
        <v>8</v>
      </c>
      <c r="K77" s="10" t="s">
        <v>6</v>
      </c>
      <c r="L77" s="24" t="s">
        <v>2030</v>
      </c>
      <c r="M77" s="24" t="s">
        <v>717</v>
      </c>
      <c r="N77" s="22" t="s">
        <v>1317</v>
      </c>
      <c r="O77" s="22"/>
      <c r="P77" s="22"/>
      <c r="Q77" s="20" t="s">
        <v>1633</v>
      </c>
      <c r="R77" s="20"/>
      <c r="S77" s="42"/>
      <c r="T77" s="20"/>
      <c r="U77" s="22">
        <v>4</v>
      </c>
      <c r="V77" s="20" t="s">
        <v>160</v>
      </c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</row>
    <row r="78" spans="1:57" s="85" customFormat="1" x14ac:dyDescent="0.25">
      <c r="A78" s="6" t="s">
        <v>8</v>
      </c>
      <c r="B78" s="9">
        <v>62600</v>
      </c>
      <c r="C78" s="9" t="s">
        <v>2360</v>
      </c>
      <c r="D78" s="9" t="s">
        <v>1368</v>
      </c>
      <c r="E78" s="3">
        <v>56.45</v>
      </c>
      <c r="F78" s="3">
        <v>12.7974</v>
      </c>
      <c r="G78" s="9">
        <v>9</v>
      </c>
      <c r="H78" s="3" t="s">
        <v>150</v>
      </c>
      <c r="I78" s="6" t="s">
        <v>8</v>
      </c>
      <c r="J78" s="21" t="s">
        <v>8</v>
      </c>
      <c r="K78" s="3" t="s">
        <v>5</v>
      </c>
      <c r="L78" s="5" t="s">
        <v>2028</v>
      </c>
      <c r="M78" s="5" t="s">
        <v>717</v>
      </c>
      <c r="N78" s="19" t="s">
        <v>2560</v>
      </c>
      <c r="O78" s="19"/>
      <c r="P78" s="19" t="s">
        <v>160</v>
      </c>
      <c r="Q78" s="19"/>
      <c r="R78" s="19"/>
      <c r="S78" s="19"/>
      <c r="T78" s="19"/>
      <c r="U78" s="1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19" t="s">
        <v>160</v>
      </c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</row>
    <row r="79" spans="1:57" s="85" customFormat="1" x14ac:dyDescent="0.25">
      <c r="A79" s="6" t="s">
        <v>8</v>
      </c>
      <c r="B79" s="9">
        <v>98610</v>
      </c>
      <c r="C79" s="9" t="s">
        <v>2361</v>
      </c>
      <c r="D79" s="9" t="s">
        <v>1369</v>
      </c>
      <c r="E79" s="3">
        <v>59.083300000000001</v>
      </c>
      <c r="F79" s="3">
        <v>18.116599999999998</v>
      </c>
      <c r="G79" s="9">
        <v>15</v>
      </c>
      <c r="H79" s="3"/>
      <c r="I79" s="6" t="s">
        <v>8</v>
      </c>
      <c r="J79" s="21" t="s">
        <v>8</v>
      </c>
      <c r="K79" s="3" t="s">
        <v>5</v>
      </c>
      <c r="L79" s="5" t="s">
        <v>2028</v>
      </c>
      <c r="M79" s="5" t="s">
        <v>717</v>
      </c>
      <c r="N79" s="19" t="s">
        <v>2313</v>
      </c>
      <c r="O79" s="19"/>
      <c r="P79" s="19" t="s">
        <v>160</v>
      </c>
      <c r="Q79" s="19"/>
      <c r="R79" s="19"/>
      <c r="S79" s="19"/>
      <c r="T79" s="19"/>
      <c r="U79" s="1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19" t="s">
        <v>160</v>
      </c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</row>
    <row r="80" spans="1:57" s="85" customFormat="1" x14ac:dyDescent="0.25">
      <c r="A80" s="6" t="s">
        <v>8</v>
      </c>
      <c r="B80" s="9">
        <v>98040</v>
      </c>
      <c r="C80" s="9" t="s">
        <v>2362</v>
      </c>
      <c r="D80" s="9" t="s">
        <v>1369</v>
      </c>
      <c r="E80" s="3">
        <v>59.067999999999998</v>
      </c>
      <c r="F80" s="3">
        <v>18.114999999999998</v>
      </c>
      <c r="G80" s="9">
        <v>4.3</v>
      </c>
      <c r="H80" s="9" t="s">
        <v>150</v>
      </c>
      <c r="I80" s="21" t="s">
        <v>987</v>
      </c>
      <c r="J80" s="21" t="s">
        <v>8</v>
      </c>
      <c r="K80" s="3" t="s">
        <v>5</v>
      </c>
      <c r="L80" s="5" t="s">
        <v>2680</v>
      </c>
      <c r="M80" s="7" t="s">
        <v>2653</v>
      </c>
      <c r="N80" s="19" t="s">
        <v>2310</v>
      </c>
      <c r="O80" s="19"/>
      <c r="P80" s="19" t="s">
        <v>160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 t="s">
        <v>160</v>
      </c>
      <c r="AS80" s="19" t="s">
        <v>160</v>
      </c>
      <c r="AT80" s="19" t="s">
        <v>160</v>
      </c>
      <c r="AU80" s="19" t="s">
        <v>160</v>
      </c>
      <c r="AV80" s="19" t="s">
        <v>160</v>
      </c>
      <c r="AW80" s="19" t="s">
        <v>160</v>
      </c>
      <c r="AX80" s="19" t="s">
        <v>160</v>
      </c>
      <c r="AY80" s="19" t="s">
        <v>160</v>
      </c>
      <c r="AZ80" s="19" t="s">
        <v>160</v>
      </c>
      <c r="BA80" s="19" t="s">
        <v>160</v>
      </c>
      <c r="BB80" s="19"/>
      <c r="BC80" s="19"/>
      <c r="BD80" s="19"/>
      <c r="BE80" s="19"/>
    </row>
    <row r="81" spans="1:57" s="87" customFormat="1" x14ac:dyDescent="0.25">
      <c r="A81" s="98" t="s">
        <v>2773</v>
      </c>
      <c r="B81" s="136">
        <v>2067</v>
      </c>
      <c r="C81" s="110" t="s">
        <v>965</v>
      </c>
      <c r="D81" s="184" t="s">
        <v>966</v>
      </c>
      <c r="E81" s="101">
        <f>60+38/60+18.15/3600</f>
        <v>60.638374999999996</v>
      </c>
      <c r="F81" s="101">
        <f>17+59/60+11.02/3600</f>
        <v>17.986394444444446</v>
      </c>
      <c r="G81" s="82"/>
      <c r="H81" s="94" t="s">
        <v>150</v>
      </c>
      <c r="I81" s="112" t="s">
        <v>8</v>
      </c>
      <c r="J81" s="113" t="s">
        <v>8</v>
      </c>
      <c r="K81" s="94" t="s">
        <v>6</v>
      </c>
      <c r="L81" s="105" t="s">
        <v>2030</v>
      </c>
      <c r="M81" s="105" t="s">
        <v>717</v>
      </c>
      <c r="N81" s="108" t="s">
        <v>1119</v>
      </c>
      <c r="O81" s="108"/>
      <c r="P81" s="108" t="s">
        <v>160</v>
      </c>
      <c r="Q81" s="108" t="s">
        <v>1151</v>
      </c>
      <c r="R81" s="107" t="s">
        <v>1586</v>
      </c>
      <c r="S81" s="106" t="s">
        <v>160</v>
      </c>
      <c r="T81" s="108" t="s">
        <v>160</v>
      </c>
      <c r="U81" s="108">
        <v>4</v>
      </c>
      <c r="V81" s="108" t="s">
        <v>160</v>
      </c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</row>
    <row r="82" spans="1:57" s="53" customFormat="1" x14ac:dyDescent="0.25">
      <c r="A82" s="10" t="s">
        <v>8</v>
      </c>
      <c r="B82" s="140">
        <v>2067</v>
      </c>
      <c r="C82" s="23" t="s">
        <v>965</v>
      </c>
      <c r="D82" t="s">
        <v>966</v>
      </c>
      <c r="E82" s="193">
        <v>60.638500000000001</v>
      </c>
      <c r="F82" s="193">
        <v>17.986799999999999</v>
      </c>
      <c r="G82" s="3"/>
      <c r="H82" s="9" t="s">
        <v>150</v>
      </c>
      <c r="I82" s="40" t="s">
        <v>8</v>
      </c>
      <c r="J82" s="41" t="s">
        <v>8</v>
      </c>
      <c r="K82" s="9" t="s">
        <v>6</v>
      </c>
      <c r="L82" s="7" t="s">
        <v>2030</v>
      </c>
      <c r="M82" s="7" t="s">
        <v>717</v>
      </c>
      <c r="N82" s="19" t="s">
        <v>1119</v>
      </c>
      <c r="O82" s="19"/>
      <c r="P82" s="19" t="s">
        <v>160</v>
      </c>
      <c r="Q82" s="19" t="s">
        <v>1151</v>
      </c>
      <c r="R82" s="44" t="s">
        <v>1586</v>
      </c>
      <c r="S82" s="42" t="s">
        <v>160</v>
      </c>
      <c r="T82" s="19" t="s">
        <v>160</v>
      </c>
      <c r="U82" s="19">
        <v>4</v>
      </c>
      <c r="V82" s="19" t="s">
        <v>160</v>
      </c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</row>
    <row r="83" spans="1:57" s="85" customFormat="1" x14ac:dyDescent="0.25">
      <c r="A83" s="9" t="s">
        <v>8</v>
      </c>
      <c r="B83" s="27">
        <v>37107</v>
      </c>
      <c r="C83" s="28" t="s">
        <v>2311</v>
      </c>
      <c r="D83" s="28" t="s">
        <v>1370</v>
      </c>
      <c r="E83" s="25">
        <v>64.4833</v>
      </c>
      <c r="F83" s="25">
        <v>21.566700000000001</v>
      </c>
      <c r="G83" s="3"/>
      <c r="H83" s="9" t="s">
        <v>150</v>
      </c>
      <c r="I83" s="6" t="s">
        <v>8</v>
      </c>
      <c r="J83" s="21" t="s">
        <v>8</v>
      </c>
      <c r="K83" s="6" t="s">
        <v>2455</v>
      </c>
      <c r="L83" s="7" t="s">
        <v>2027</v>
      </c>
      <c r="M83" s="28" t="s">
        <v>717</v>
      </c>
      <c r="N83" s="19" t="s">
        <v>1815</v>
      </c>
      <c r="O83" s="19"/>
      <c r="P83" s="19"/>
      <c r="Q83" s="19"/>
      <c r="R83" s="19"/>
      <c r="S83" s="19"/>
      <c r="T83" s="19"/>
      <c r="U83" s="19"/>
      <c r="V83" s="19"/>
      <c r="W83" s="19"/>
      <c r="X83" s="19" t="s">
        <v>160</v>
      </c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7"/>
      <c r="BB83" s="7"/>
      <c r="BC83" s="7"/>
      <c r="BD83" s="7"/>
      <c r="BE83" s="7"/>
    </row>
    <row r="84" spans="1:57" s="85" customFormat="1" x14ac:dyDescent="0.25">
      <c r="A84" s="6" t="s">
        <v>8</v>
      </c>
      <c r="B84" s="9">
        <v>151290</v>
      </c>
      <c r="C84" s="9" t="s">
        <v>2312</v>
      </c>
      <c r="D84" s="9" t="s">
        <v>1370</v>
      </c>
      <c r="E84" s="3">
        <v>64.480599999999995</v>
      </c>
      <c r="F84" s="3">
        <v>21.578700000000001</v>
      </c>
      <c r="G84" s="9">
        <v>36</v>
      </c>
      <c r="H84" s="9" t="s">
        <v>150</v>
      </c>
      <c r="I84" s="6" t="s">
        <v>8</v>
      </c>
      <c r="J84" s="21" t="s">
        <v>8</v>
      </c>
      <c r="K84" s="3" t="s">
        <v>5</v>
      </c>
      <c r="L84" s="5" t="s">
        <v>2680</v>
      </c>
      <c r="M84" s="7" t="s">
        <v>717</v>
      </c>
      <c r="N84" s="19" t="s">
        <v>2468</v>
      </c>
      <c r="O84" s="19"/>
      <c r="P84" s="19" t="s">
        <v>160</v>
      </c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 t="s">
        <v>160</v>
      </c>
      <c r="AS84" s="19"/>
      <c r="AT84" s="19" t="s">
        <v>160</v>
      </c>
      <c r="AU84" s="19"/>
      <c r="AV84" s="19" t="s">
        <v>160</v>
      </c>
      <c r="AW84" s="19"/>
      <c r="AX84" s="19" t="s">
        <v>160</v>
      </c>
      <c r="AY84" s="19"/>
      <c r="AZ84" s="19" t="s">
        <v>160</v>
      </c>
      <c r="BA84" s="19"/>
      <c r="BB84" s="19"/>
      <c r="BC84" s="19"/>
      <c r="BD84" s="19"/>
      <c r="BE84" s="19"/>
    </row>
    <row r="85" spans="1:57" s="90" customFormat="1" x14ac:dyDescent="0.25">
      <c r="A85" s="32" t="s">
        <v>707</v>
      </c>
      <c r="B85" s="33"/>
      <c r="C85" s="33" t="s">
        <v>1371</v>
      </c>
      <c r="D85" s="33" t="s">
        <v>1372</v>
      </c>
      <c r="E85" s="35"/>
      <c r="F85" s="35"/>
      <c r="G85" s="33"/>
      <c r="H85" s="33" t="s">
        <v>150</v>
      </c>
      <c r="I85" s="21" t="s">
        <v>8</v>
      </c>
      <c r="J85" s="32" t="s">
        <v>8</v>
      </c>
      <c r="K85" s="35" t="s">
        <v>5</v>
      </c>
      <c r="L85" s="35" t="s">
        <v>2043</v>
      </c>
      <c r="M85" s="33" t="s">
        <v>2653</v>
      </c>
      <c r="N85" s="37" t="s">
        <v>2303</v>
      </c>
      <c r="O85" s="37"/>
      <c r="P85" s="37" t="s">
        <v>160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 t="s">
        <v>160</v>
      </c>
      <c r="AS85" s="37" t="s">
        <v>160</v>
      </c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</row>
    <row r="86" spans="1:57" s="94" customFormat="1" x14ac:dyDescent="0.25">
      <c r="A86" s="114" t="s">
        <v>2773</v>
      </c>
      <c r="B86" s="94" t="s">
        <v>2845</v>
      </c>
      <c r="C86" s="94" t="s">
        <v>1371</v>
      </c>
      <c r="D86" s="153" t="s">
        <v>1372</v>
      </c>
      <c r="E86" s="82">
        <f>64+28/60+47.64/3600</f>
        <v>64.479900000000001</v>
      </c>
      <c r="F86" s="82">
        <f>21+34/60+31.44/3600</f>
        <v>21.575399999999998</v>
      </c>
      <c r="G86" s="94">
        <v>35.409999999999997</v>
      </c>
      <c r="H86" s="94" t="s">
        <v>150</v>
      </c>
      <c r="I86" s="122" t="s">
        <v>8</v>
      </c>
      <c r="J86" s="122" t="s">
        <v>8</v>
      </c>
      <c r="K86" s="82" t="s">
        <v>5</v>
      </c>
      <c r="L86" s="93" t="s">
        <v>2680</v>
      </c>
      <c r="M86" s="105" t="s">
        <v>2653</v>
      </c>
      <c r="N86" s="108" t="s">
        <v>2303</v>
      </c>
      <c r="O86" s="108"/>
      <c r="P86" s="108" t="s">
        <v>160</v>
      </c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 t="s">
        <v>160</v>
      </c>
      <c r="AS86" s="108" t="s">
        <v>160</v>
      </c>
      <c r="AT86" s="108" t="s">
        <v>160</v>
      </c>
      <c r="AU86" s="108" t="s">
        <v>160</v>
      </c>
      <c r="AV86" s="108" t="s">
        <v>160</v>
      </c>
      <c r="AW86" s="108" t="s">
        <v>160</v>
      </c>
      <c r="AX86" s="108" t="s">
        <v>160</v>
      </c>
      <c r="AY86" s="108" t="s">
        <v>160</v>
      </c>
      <c r="AZ86" s="108" t="s">
        <v>160</v>
      </c>
      <c r="BA86" s="108" t="s">
        <v>160</v>
      </c>
      <c r="BB86" s="108"/>
      <c r="BC86" s="108"/>
      <c r="BD86" s="108"/>
      <c r="BE86" s="108"/>
    </row>
    <row r="87" spans="1:57" x14ac:dyDescent="0.25">
      <c r="A87" s="6" t="s">
        <v>8</v>
      </c>
      <c r="B87" s="9">
        <v>151280</v>
      </c>
      <c r="C87" s="9" t="s">
        <v>1371</v>
      </c>
      <c r="D87" s="9" t="s">
        <v>1372</v>
      </c>
      <c r="E87" s="3">
        <f>64+28/60+47.64/3600</f>
        <v>64.479900000000001</v>
      </c>
      <c r="F87" s="3">
        <f>21+34/60+31.44/3600</f>
        <v>21.575399999999998</v>
      </c>
      <c r="G87" s="9">
        <v>35.409999999999997</v>
      </c>
      <c r="H87" s="9" t="s">
        <v>150</v>
      </c>
      <c r="I87" s="21" t="s">
        <v>8</v>
      </c>
      <c r="J87" s="21" t="s">
        <v>8</v>
      </c>
      <c r="K87" s="3" t="s">
        <v>5</v>
      </c>
      <c r="L87" s="5" t="s">
        <v>2680</v>
      </c>
      <c r="M87" s="7" t="s">
        <v>2653</v>
      </c>
      <c r="N87" s="19" t="s">
        <v>2303</v>
      </c>
      <c r="P87" s="19" t="s">
        <v>160</v>
      </c>
      <c r="AR87" s="19" t="s">
        <v>160</v>
      </c>
      <c r="AS87" s="19" t="s">
        <v>160</v>
      </c>
      <c r="AT87" s="19" t="s">
        <v>160</v>
      </c>
      <c r="AU87" s="19" t="s">
        <v>160</v>
      </c>
      <c r="AV87" s="19" t="s">
        <v>160</v>
      </c>
      <c r="AW87" s="19" t="s">
        <v>160</v>
      </c>
      <c r="AX87" s="19" t="s">
        <v>160</v>
      </c>
      <c r="AY87" s="19" t="s">
        <v>160</v>
      </c>
      <c r="AZ87" s="19" t="s">
        <v>160</v>
      </c>
      <c r="BA87" s="19" t="s">
        <v>160</v>
      </c>
      <c r="BB87" s="19"/>
      <c r="BC87" s="19"/>
      <c r="BD87" s="19"/>
      <c r="BE87" s="19"/>
    </row>
    <row r="88" spans="1:57" x14ac:dyDescent="0.25">
      <c r="A88" s="6" t="s">
        <v>706</v>
      </c>
      <c r="B88" s="9">
        <v>223</v>
      </c>
      <c r="C88" s="9" t="s">
        <v>1371</v>
      </c>
      <c r="D88" s="62" t="s">
        <v>2655</v>
      </c>
      <c r="E88" s="3">
        <f>64+28/60+48/3600</f>
        <v>64.48</v>
      </c>
      <c r="F88" s="3">
        <f>21+34/60+31/3600</f>
        <v>21.575277777777778</v>
      </c>
      <c r="G88" s="9"/>
      <c r="H88" s="9" t="s">
        <v>150</v>
      </c>
      <c r="I88" s="21" t="s">
        <v>8</v>
      </c>
      <c r="J88" s="21" t="s">
        <v>8</v>
      </c>
      <c r="K88" s="3" t="s">
        <v>5</v>
      </c>
      <c r="L88" s="5" t="s">
        <v>2043</v>
      </c>
      <c r="M88" s="7" t="s">
        <v>2653</v>
      </c>
      <c r="N88" s="19" t="s">
        <v>2303</v>
      </c>
      <c r="P88" s="19" t="s">
        <v>160</v>
      </c>
      <c r="AR88" s="19" t="s">
        <v>160</v>
      </c>
      <c r="AS88" s="19" t="s">
        <v>160</v>
      </c>
      <c r="BB88" s="19"/>
      <c r="BC88" s="19"/>
      <c r="BD88" s="19"/>
      <c r="BE88" s="19"/>
    </row>
    <row r="89" spans="1:57" x14ac:dyDescent="0.25">
      <c r="A89" s="9" t="s">
        <v>707</v>
      </c>
      <c r="B89" s="39" t="s">
        <v>199</v>
      </c>
      <c r="C89" s="38" t="s">
        <v>885</v>
      </c>
      <c r="D89" s="40" t="s">
        <v>200</v>
      </c>
      <c r="E89" s="46" t="s">
        <v>2180</v>
      </c>
      <c r="F89" s="46" t="s">
        <v>2181</v>
      </c>
      <c r="G89" s="40"/>
      <c r="H89" s="9" t="s">
        <v>151</v>
      </c>
      <c r="I89" s="41" t="s">
        <v>2639</v>
      </c>
      <c r="J89" s="41" t="s">
        <v>169</v>
      </c>
      <c r="K89" s="40" t="s">
        <v>5</v>
      </c>
      <c r="L89" s="41" t="s">
        <v>2043</v>
      </c>
      <c r="M89" s="7" t="s">
        <v>2653</v>
      </c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 t="s">
        <v>160</v>
      </c>
      <c r="AS89" s="42" t="s">
        <v>160</v>
      </c>
      <c r="AZ89" s="42"/>
      <c r="BA89" s="42"/>
      <c r="BB89" s="42"/>
      <c r="BC89" s="42"/>
      <c r="BD89" s="42"/>
      <c r="BE89" s="42"/>
    </row>
    <row r="90" spans="1:57" s="105" customFormat="1" x14ac:dyDescent="0.25">
      <c r="A90" s="105" t="s">
        <v>2773</v>
      </c>
      <c r="B90" s="171" t="s">
        <v>2951</v>
      </c>
      <c r="C90" s="169" t="s">
        <v>885</v>
      </c>
      <c r="D90" s="153" t="s">
        <v>10</v>
      </c>
      <c r="E90" s="120">
        <f>59+19/60+14.808/3600</f>
        <v>59.320780000000006</v>
      </c>
      <c r="F90" s="120">
        <f>18+9/60+17.208/3600</f>
        <v>18.154779999999999</v>
      </c>
      <c r="G90" s="113"/>
      <c r="H90" s="105" t="s">
        <v>151</v>
      </c>
      <c r="I90" s="113" t="s">
        <v>2639</v>
      </c>
      <c r="J90" s="113" t="s">
        <v>169</v>
      </c>
      <c r="K90" s="113" t="s">
        <v>5</v>
      </c>
      <c r="L90" s="113" t="s">
        <v>2043</v>
      </c>
      <c r="M90" s="105" t="s">
        <v>2653</v>
      </c>
      <c r="N90" s="108"/>
      <c r="O90" s="108"/>
      <c r="P90" s="108"/>
      <c r="Q90" s="108"/>
      <c r="R90" s="108"/>
      <c r="S90" s="108"/>
      <c r="T90" s="108"/>
      <c r="U90" s="108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 t="s">
        <v>160</v>
      </c>
      <c r="AS90" s="106" t="s">
        <v>160</v>
      </c>
      <c r="AT90" s="108"/>
      <c r="AU90" s="108"/>
      <c r="AV90" s="108"/>
      <c r="AW90" s="108"/>
      <c r="AX90" s="108"/>
      <c r="AY90" s="108"/>
      <c r="AZ90" s="106"/>
      <c r="BA90" s="106"/>
      <c r="BB90" s="106"/>
      <c r="BC90" s="106"/>
      <c r="BD90" s="106"/>
      <c r="BE90" s="106"/>
    </row>
    <row r="91" spans="1:57" s="33" customFormat="1" x14ac:dyDescent="0.25">
      <c r="A91" s="33" t="s">
        <v>8</v>
      </c>
      <c r="B91" s="58" t="s">
        <v>875</v>
      </c>
      <c r="C91" s="69" t="s">
        <v>885</v>
      </c>
      <c r="D91" s="51" t="s">
        <v>885</v>
      </c>
      <c r="E91" s="35">
        <f>59+19/60+14.808/3600</f>
        <v>59.320780000000006</v>
      </c>
      <c r="F91" s="35">
        <f>18+9/60+17.208/3600</f>
        <v>18.154779999999999</v>
      </c>
      <c r="G91" s="51"/>
      <c r="H91" s="33" t="s">
        <v>151</v>
      </c>
      <c r="I91" s="41" t="s">
        <v>2639</v>
      </c>
      <c r="J91" s="51" t="s">
        <v>169</v>
      </c>
      <c r="K91" s="51" t="s">
        <v>5</v>
      </c>
      <c r="L91" s="51" t="s">
        <v>2043</v>
      </c>
      <c r="M91" s="33" t="s">
        <v>2653</v>
      </c>
      <c r="N91" s="37"/>
      <c r="O91" s="37"/>
      <c r="P91" s="37"/>
      <c r="Q91" s="37"/>
      <c r="R91" s="37"/>
      <c r="S91" s="37"/>
      <c r="T91" s="37"/>
      <c r="U91" s="37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 t="s">
        <v>160</v>
      </c>
      <c r="AS91" s="59" t="s">
        <v>160</v>
      </c>
      <c r="AT91" s="37"/>
      <c r="AU91" s="37"/>
      <c r="AV91" s="37"/>
      <c r="AW91" s="37"/>
      <c r="AX91" s="37"/>
      <c r="AY91" s="37"/>
      <c r="AZ91" s="59"/>
      <c r="BA91" s="59"/>
      <c r="BB91" s="59"/>
      <c r="BC91" s="59"/>
      <c r="BD91" s="59"/>
      <c r="BE91" s="59"/>
    </row>
    <row r="92" spans="1:57" x14ac:dyDescent="0.25">
      <c r="A92" s="9" t="s">
        <v>706</v>
      </c>
      <c r="B92" s="38">
        <v>141</v>
      </c>
      <c r="C92" s="38" t="s">
        <v>885</v>
      </c>
      <c r="D92" s="62" t="s">
        <v>2952</v>
      </c>
      <c r="E92" s="3">
        <f>59+19/60+15/3600</f>
        <v>59.32083333333334</v>
      </c>
      <c r="F92" s="3">
        <f>18+9/60+17/3600</f>
        <v>18.154722222222222</v>
      </c>
      <c r="H92" s="9" t="s">
        <v>151</v>
      </c>
      <c r="I92" s="41" t="s">
        <v>2639</v>
      </c>
      <c r="J92" s="41" t="s">
        <v>169</v>
      </c>
      <c r="K92" s="9" t="s">
        <v>5</v>
      </c>
      <c r="L92" s="7" t="s">
        <v>2043</v>
      </c>
      <c r="M92" s="7" t="s">
        <v>2653</v>
      </c>
      <c r="S92" s="42"/>
      <c r="AR92" s="19" t="s">
        <v>160</v>
      </c>
      <c r="AS92" s="19" t="s">
        <v>160</v>
      </c>
      <c r="BB92" s="19"/>
      <c r="BC92" s="19"/>
      <c r="BD92" s="19"/>
      <c r="BE92" s="19"/>
    </row>
    <row r="93" spans="1:57" x14ac:dyDescent="0.25">
      <c r="A93" s="9" t="s">
        <v>8</v>
      </c>
      <c r="B93" s="27">
        <v>37130</v>
      </c>
      <c r="C93" s="28" t="s">
        <v>2380</v>
      </c>
      <c r="D93" s="28" t="s">
        <v>1722</v>
      </c>
      <c r="E93" s="25">
        <v>61.2</v>
      </c>
      <c r="F93" s="25">
        <v>17.283300000000001</v>
      </c>
      <c r="H93" s="9" t="s">
        <v>150</v>
      </c>
      <c r="I93" s="40" t="s">
        <v>8</v>
      </c>
      <c r="J93" s="41" t="s">
        <v>8</v>
      </c>
      <c r="K93" s="6" t="s">
        <v>2455</v>
      </c>
      <c r="L93" s="7" t="s">
        <v>2027</v>
      </c>
      <c r="M93" s="28" t="s">
        <v>717</v>
      </c>
      <c r="N93" s="19" t="s">
        <v>1812</v>
      </c>
      <c r="T93" s="7"/>
      <c r="X93" s="19" t="s">
        <v>160</v>
      </c>
      <c r="BA93" s="7"/>
      <c r="BB93" s="7"/>
      <c r="BC93" s="7"/>
      <c r="BD93" s="7"/>
      <c r="BE93" s="7"/>
    </row>
    <row r="94" spans="1:57" x14ac:dyDescent="0.25">
      <c r="A94" s="9" t="s">
        <v>707</v>
      </c>
      <c r="B94" s="39" t="s">
        <v>213</v>
      </c>
      <c r="C94" s="39" t="s">
        <v>840</v>
      </c>
      <c r="D94" s="40" t="s">
        <v>214</v>
      </c>
      <c r="E94" s="46" t="s">
        <v>2199</v>
      </c>
      <c r="F94" s="46" t="s">
        <v>2078</v>
      </c>
      <c r="G94" s="40"/>
      <c r="H94" s="9" t="s">
        <v>150</v>
      </c>
      <c r="I94" s="41" t="s">
        <v>169</v>
      </c>
      <c r="J94" s="41" t="s">
        <v>169</v>
      </c>
      <c r="K94" s="40" t="s">
        <v>5</v>
      </c>
      <c r="L94" s="41" t="s">
        <v>2043</v>
      </c>
      <c r="M94" s="7" t="s">
        <v>2653</v>
      </c>
      <c r="N94" s="19" t="s">
        <v>1108</v>
      </c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 t="s">
        <v>160</v>
      </c>
      <c r="AS94" s="42" t="s">
        <v>160</v>
      </c>
      <c r="AZ94" s="42"/>
      <c r="BA94" s="42"/>
      <c r="BB94" s="42"/>
      <c r="BC94" s="42"/>
      <c r="BD94" s="42"/>
      <c r="BE94" s="42"/>
    </row>
    <row r="95" spans="1:57" x14ac:dyDescent="0.25">
      <c r="A95" s="9" t="s">
        <v>707</v>
      </c>
      <c r="B95" s="137" t="s">
        <v>215</v>
      </c>
      <c r="C95" s="39" t="s">
        <v>840</v>
      </c>
      <c r="D95" s="40" t="s">
        <v>216</v>
      </c>
      <c r="E95" s="46" t="s">
        <v>218</v>
      </c>
      <c r="F95" s="46" t="s">
        <v>217</v>
      </c>
      <c r="G95" s="40"/>
      <c r="H95" s="9" t="s">
        <v>150</v>
      </c>
      <c r="I95" s="41" t="s">
        <v>169</v>
      </c>
      <c r="J95" s="41" t="s">
        <v>169</v>
      </c>
      <c r="K95" s="40" t="s">
        <v>6</v>
      </c>
      <c r="L95" s="41" t="s">
        <v>2031</v>
      </c>
      <c r="M95" s="7" t="s">
        <v>2653</v>
      </c>
      <c r="N95" s="19" t="s">
        <v>1108</v>
      </c>
      <c r="O95" s="42" t="s">
        <v>160</v>
      </c>
      <c r="P95" s="42" t="s">
        <v>160</v>
      </c>
      <c r="Q95" s="44" t="s">
        <v>1152</v>
      </c>
      <c r="S95" s="19" t="s">
        <v>160</v>
      </c>
      <c r="T95" s="19" t="s">
        <v>160</v>
      </c>
      <c r="U95" s="19">
        <v>2</v>
      </c>
      <c r="V95" s="42" t="s">
        <v>160</v>
      </c>
      <c r="W95" s="42" t="s">
        <v>160</v>
      </c>
      <c r="X95" s="42" t="s">
        <v>160</v>
      </c>
      <c r="Y95" s="42" t="s">
        <v>160</v>
      </c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Z95" s="42"/>
      <c r="BA95" s="42"/>
      <c r="BB95" s="42"/>
      <c r="BC95" s="42"/>
      <c r="BD95" s="42"/>
      <c r="BE95" s="42"/>
    </row>
    <row r="96" spans="1:57" x14ac:dyDescent="0.25">
      <c r="A96" s="53" t="s">
        <v>2763</v>
      </c>
      <c r="B96" s="138">
        <v>35119</v>
      </c>
      <c r="C96" s="53" t="s">
        <v>840</v>
      </c>
      <c r="D96" s="53" t="s">
        <v>2744</v>
      </c>
      <c r="E96" s="35">
        <f>60+44/60+19.698/3600</f>
        <v>60.738804999999999</v>
      </c>
      <c r="F96" s="35">
        <f>17+19/60+3.8028/3600</f>
        <v>17.317723000000001</v>
      </c>
      <c r="G96" s="53">
        <v>1.37</v>
      </c>
      <c r="H96" s="9" t="s">
        <v>150</v>
      </c>
      <c r="I96" s="7" t="s">
        <v>169</v>
      </c>
      <c r="J96" s="53" t="s">
        <v>169</v>
      </c>
      <c r="K96" s="40" t="s">
        <v>6</v>
      </c>
      <c r="L96" s="41" t="s">
        <v>2031</v>
      </c>
      <c r="M96" s="7" t="s">
        <v>2653</v>
      </c>
      <c r="N96" s="19" t="s">
        <v>1108</v>
      </c>
      <c r="O96" s="42" t="s">
        <v>160</v>
      </c>
      <c r="P96" s="42" t="s">
        <v>160</v>
      </c>
      <c r="Q96" s="44" t="s">
        <v>1152</v>
      </c>
      <c r="S96" s="19" t="s">
        <v>160</v>
      </c>
      <c r="T96" s="19" t="s">
        <v>160</v>
      </c>
      <c r="U96" s="19">
        <v>2</v>
      </c>
      <c r="V96" s="42" t="s">
        <v>160</v>
      </c>
      <c r="W96" s="42" t="s">
        <v>160</v>
      </c>
      <c r="X96" s="42" t="s">
        <v>160</v>
      </c>
      <c r="Y96" s="42" t="s">
        <v>160</v>
      </c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94" customFormat="1" x14ac:dyDescent="0.25">
      <c r="A97" s="98" t="s">
        <v>2773</v>
      </c>
      <c r="B97" s="139" t="s">
        <v>2776</v>
      </c>
      <c r="C97" s="110" t="s">
        <v>840</v>
      </c>
      <c r="D97" s="153" t="s">
        <v>18</v>
      </c>
      <c r="E97" s="84">
        <f>60+44/60+19.68/3600</f>
        <v>60.738799999999998</v>
      </c>
      <c r="F97" s="84">
        <f>17+19/60+3.792/3600</f>
        <v>17.317720000000001</v>
      </c>
      <c r="G97" s="178">
        <v>1.37</v>
      </c>
      <c r="H97" s="105" t="s">
        <v>150</v>
      </c>
      <c r="I97" s="105" t="s">
        <v>169</v>
      </c>
      <c r="J97" s="105" t="s">
        <v>169</v>
      </c>
      <c r="K97" s="105" t="s">
        <v>40</v>
      </c>
      <c r="L97" s="105" t="s">
        <v>2055</v>
      </c>
      <c r="M97" s="105" t="s">
        <v>2653</v>
      </c>
      <c r="N97" s="108" t="s">
        <v>1108</v>
      </c>
      <c r="O97" s="106" t="s">
        <v>160</v>
      </c>
      <c r="P97" s="106" t="s">
        <v>160</v>
      </c>
      <c r="Q97" s="107" t="s">
        <v>1152</v>
      </c>
      <c r="R97" s="108"/>
      <c r="S97" s="108" t="s">
        <v>160</v>
      </c>
      <c r="T97" s="108" t="s">
        <v>160</v>
      </c>
      <c r="U97" s="106">
        <v>2</v>
      </c>
      <c r="V97" s="103" t="s">
        <v>160</v>
      </c>
      <c r="W97" s="103" t="s">
        <v>160</v>
      </c>
      <c r="X97" s="103" t="s">
        <v>160</v>
      </c>
      <c r="Y97" s="103" t="s">
        <v>160</v>
      </c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 t="s">
        <v>160</v>
      </c>
      <c r="AS97" s="103" t="s">
        <v>160</v>
      </c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</row>
    <row r="98" spans="1:57" x14ac:dyDescent="0.25">
      <c r="A98" s="10" t="s">
        <v>8</v>
      </c>
      <c r="B98" s="142" t="s">
        <v>2862</v>
      </c>
      <c r="C98" s="23" t="s">
        <v>840</v>
      </c>
      <c r="D98" s="24" t="s">
        <v>746</v>
      </c>
      <c r="E98" s="193">
        <v>60.738300000000002</v>
      </c>
      <c r="F98" s="193">
        <v>17.3184</v>
      </c>
      <c r="G98" s="43"/>
      <c r="H98" s="7" t="s">
        <v>150</v>
      </c>
      <c r="I98" s="7" t="s">
        <v>169</v>
      </c>
      <c r="J98" s="7" t="s">
        <v>169</v>
      </c>
      <c r="K98" s="7" t="s">
        <v>40</v>
      </c>
      <c r="L98" s="7" t="s">
        <v>2055</v>
      </c>
      <c r="M98" s="7" t="s">
        <v>2653</v>
      </c>
      <c r="N98" s="19" t="s">
        <v>1108</v>
      </c>
      <c r="O98" s="42" t="s">
        <v>160</v>
      </c>
      <c r="P98" s="42" t="s">
        <v>160</v>
      </c>
      <c r="Q98" s="44" t="s">
        <v>1152</v>
      </c>
      <c r="S98" s="19" t="s">
        <v>160</v>
      </c>
      <c r="T98" s="19" t="s">
        <v>160</v>
      </c>
      <c r="U98" s="42">
        <v>2</v>
      </c>
      <c r="V98" s="20" t="s">
        <v>160</v>
      </c>
      <c r="W98" s="20" t="s">
        <v>160</v>
      </c>
      <c r="X98" s="20" t="s">
        <v>160</v>
      </c>
      <c r="Y98" s="20" t="s">
        <v>160</v>
      </c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 t="s">
        <v>160</v>
      </c>
      <c r="AS98" s="20" t="s">
        <v>160</v>
      </c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</row>
    <row r="99" spans="1:57" x14ac:dyDescent="0.25">
      <c r="A99" s="9" t="s">
        <v>706</v>
      </c>
      <c r="B99" s="140">
        <v>33</v>
      </c>
      <c r="C99" s="38" t="s">
        <v>840</v>
      </c>
      <c r="D99" s="62" t="s">
        <v>18</v>
      </c>
      <c r="E99" s="35">
        <f>60+43/60+53/3600</f>
        <v>60.731388888888894</v>
      </c>
      <c r="F99" s="35">
        <f>17+19/60+33/3600</f>
        <v>17.325833333333332</v>
      </c>
      <c r="G99" s="43"/>
      <c r="H99" s="9" t="s">
        <v>150</v>
      </c>
      <c r="I99" s="7" t="s">
        <v>169</v>
      </c>
      <c r="J99" s="7" t="s">
        <v>169</v>
      </c>
      <c r="K99" s="9" t="s">
        <v>40</v>
      </c>
      <c r="L99" s="7" t="s">
        <v>2055</v>
      </c>
      <c r="M99" s="7" t="s">
        <v>2653</v>
      </c>
      <c r="N99" s="19" t="s">
        <v>1108</v>
      </c>
      <c r="O99" s="42" t="s">
        <v>160</v>
      </c>
      <c r="P99" s="42" t="s">
        <v>160</v>
      </c>
      <c r="Q99" s="44" t="s">
        <v>1152</v>
      </c>
      <c r="S99" s="19" t="s">
        <v>160</v>
      </c>
      <c r="T99" s="19" t="s">
        <v>160</v>
      </c>
      <c r="U99" s="19">
        <v>2</v>
      </c>
      <c r="V99" s="19" t="s">
        <v>160</v>
      </c>
      <c r="W99" s="19" t="s">
        <v>160</v>
      </c>
      <c r="X99" s="19" t="s">
        <v>160</v>
      </c>
      <c r="Y99" s="19" t="s">
        <v>160</v>
      </c>
      <c r="AR99" s="19" t="s">
        <v>160</v>
      </c>
      <c r="AS99" s="19" t="s">
        <v>160</v>
      </c>
      <c r="BB99" s="19"/>
      <c r="BC99" s="19"/>
      <c r="BD99" s="19"/>
      <c r="BE99" s="19"/>
    </row>
    <row r="100" spans="1:57" x14ac:dyDescent="0.25">
      <c r="A100" s="9" t="s">
        <v>8</v>
      </c>
      <c r="B100" s="27">
        <v>37132</v>
      </c>
      <c r="C100" s="28" t="s">
        <v>1902</v>
      </c>
      <c r="D100" s="28" t="s">
        <v>746</v>
      </c>
      <c r="E100" s="25">
        <v>60.7333</v>
      </c>
      <c r="F100" s="25">
        <v>17.333300000000001</v>
      </c>
      <c r="H100" s="9" t="s">
        <v>150</v>
      </c>
      <c r="I100" s="9" t="s">
        <v>8</v>
      </c>
      <c r="J100" s="7" t="s">
        <v>8</v>
      </c>
      <c r="K100" s="6" t="s">
        <v>2455</v>
      </c>
      <c r="L100" s="7" t="s">
        <v>2027</v>
      </c>
      <c r="M100" s="28" t="s">
        <v>717</v>
      </c>
      <c r="N100" s="19" t="s">
        <v>1823</v>
      </c>
      <c r="P100" s="42"/>
      <c r="X100" s="19" t="s">
        <v>160</v>
      </c>
      <c r="BA100" s="7"/>
      <c r="BB100" s="7"/>
      <c r="BC100" s="7"/>
      <c r="BD100" s="7"/>
      <c r="BE100" s="7"/>
    </row>
    <row r="101" spans="1:57" x14ac:dyDescent="0.25">
      <c r="A101" s="9" t="s">
        <v>8</v>
      </c>
      <c r="B101" s="26">
        <v>35019</v>
      </c>
      <c r="C101" s="24" t="s">
        <v>1060</v>
      </c>
      <c r="D101" t="s">
        <v>1061</v>
      </c>
      <c r="E101" s="25">
        <f>58+23/60</f>
        <v>58.383333333333333</v>
      </c>
      <c r="F101" s="25">
        <f>11+35/60</f>
        <v>11.583333333333334</v>
      </c>
      <c r="G101" s="9"/>
      <c r="H101" s="9" t="s">
        <v>150</v>
      </c>
      <c r="I101" s="9" t="s">
        <v>8</v>
      </c>
      <c r="J101" s="7" t="s">
        <v>8</v>
      </c>
      <c r="K101" s="10" t="s">
        <v>951</v>
      </c>
      <c r="L101" s="7" t="s">
        <v>2032</v>
      </c>
      <c r="M101" s="7" t="s">
        <v>717</v>
      </c>
      <c r="N101" s="42" t="s">
        <v>1331</v>
      </c>
      <c r="O101" s="42"/>
      <c r="P101" s="42"/>
      <c r="S101" s="19" t="s">
        <v>160</v>
      </c>
      <c r="T101" s="19" t="s">
        <v>160</v>
      </c>
      <c r="U101" s="42"/>
      <c r="X101" s="19" t="s">
        <v>160</v>
      </c>
      <c r="Z101" s="19" t="s">
        <v>160</v>
      </c>
      <c r="BB101" s="19"/>
      <c r="BC101" s="19"/>
      <c r="BD101" s="19"/>
      <c r="BE101" s="19"/>
    </row>
    <row r="102" spans="1:57" x14ac:dyDescent="0.25">
      <c r="A102" s="9" t="s">
        <v>8</v>
      </c>
      <c r="B102" s="27">
        <v>37137</v>
      </c>
      <c r="C102" s="28" t="s">
        <v>2379</v>
      </c>
      <c r="D102" s="28" t="s">
        <v>1725</v>
      </c>
      <c r="E102" s="25">
        <v>62.2333</v>
      </c>
      <c r="F102" s="25">
        <v>17.8</v>
      </c>
      <c r="H102" s="9" t="s">
        <v>150</v>
      </c>
      <c r="I102" s="9" t="s">
        <v>8</v>
      </c>
      <c r="J102" s="7" t="s">
        <v>8</v>
      </c>
      <c r="K102" s="6" t="s">
        <v>2455</v>
      </c>
      <c r="L102" s="7" t="s">
        <v>2027</v>
      </c>
      <c r="M102" s="28" t="s">
        <v>717</v>
      </c>
      <c r="N102" s="19" t="s">
        <v>1826</v>
      </c>
      <c r="P102" s="42"/>
      <c r="T102" s="7"/>
      <c r="X102" s="19" t="s">
        <v>160</v>
      </c>
      <c r="BA102" s="7"/>
      <c r="BB102" s="7"/>
      <c r="BC102" s="7"/>
      <c r="BD102" s="7"/>
      <c r="BE102" s="7"/>
    </row>
    <row r="103" spans="1:57" s="33" customFormat="1" x14ac:dyDescent="0.25">
      <c r="A103" s="32" t="s">
        <v>707</v>
      </c>
      <c r="C103" s="33" t="s">
        <v>1373</v>
      </c>
      <c r="D103" s="33" t="s">
        <v>1374</v>
      </c>
      <c r="E103" s="35"/>
      <c r="F103" s="35"/>
      <c r="H103" s="33" t="s">
        <v>150</v>
      </c>
      <c r="I103" s="21" t="s">
        <v>8</v>
      </c>
      <c r="J103" s="32" t="s">
        <v>8</v>
      </c>
      <c r="K103" s="35" t="s">
        <v>5</v>
      </c>
      <c r="L103" s="35" t="s">
        <v>2043</v>
      </c>
      <c r="M103" s="33" t="s">
        <v>2653</v>
      </c>
      <c r="N103" s="37" t="s">
        <v>2388</v>
      </c>
      <c r="O103" s="37"/>
      <c r="P103" s="59" t="s">
        <v>160</v>
      </c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 t="s">
        <v>160</v>
      </c>
      <c r="AS103" s="37" t="s">
        <v>160</v>
      </c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</row>
    <row r="104" spans="1:57" s="94" customFormat="1" x14ac:dyDescent="0.25">
      <c r="A104" s="114" t="s">
        <v>2773</v>
      </c>
      <c r="B104" s="94" t="s">
        <v>2846</v>
      </c>
      <c r="C104" s="94" t="s">
        <v>1373</v>
      </c>
      <c r="D104" s="153" t="s">
        <v>1374</v>
      </c>
      <c r="E104" s="93">
        <f>62+13/60+11.28/3600</f>
        <v>62.219799999999999</v>
      </c>
      <c r="F104" s="93">
        <f>17+44/60+20.4/3600</f>
        <v>17.739000000000001</v>
      </c>
      <c r="G104" s="94">
        <v>18.13</v>
      </c>
      <c r="H104" s="94" t="s">
        <v>150</v>
      </c>
      <c r="I104" s="122" t="s">
        <v>8</v>
      </c>
      <c r="J104" s="122" t="s">
        <v>8</v>
      </c>
      <c r="K104" s="82" t="s">
        <v>5</v>
      </c>
      <c r="L104" s="93" t="s">
        <v>2680</v>
      </c>
      <c r="M104" s="105" t="s">
        <v>2653</v>
      </c>
      <c r="N104" s="108" t="s">
        <v>2388</v>
      </c>
      <c r="O104" s="108"/>
      <c r="P104" s="106" t="s">
        <v>160</v>
      </c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 t="s">
        <v>160</v>
      </c>
      <c r="AS104" s="108" t="s">
        <v>160</v>
      </c>
      <c r="AT104" s="108" t="s">
        <v>160</v>
      </c>
      <c r="AU104" s="108" t="s">
        <v>160</v>
      </c>
      <c r="AV104" s="108" t="s">
        <v>160</v>
      </c>
      <c r="AW104" s="108" t="s">
        <v>160</v>
      </c>
      <c r="AX104" s="108" t="s">
        <v>160</v>
      </c>
      <c r="AY104" s="108" t="s">
        <v>160</v>
      </c>
      <c r="AZ104" s="108" t="s">
        <v>160</v>
      </c>
      <c r="BA104" s="108" t="s">
        <v>160</v>
      </c>
      <c r="BB104" s="108"/>
      <c r="BC104" s="108"/>
      <c r="BD104" s="108"/>
      <c r="BE104" s="108"/>
    </row>
    <row r="105" spans="1:57" x14ac:dyDescent="0.25">
      <c r="A105" s="6" t="s">
        <v>8</v>
      </c>
      <c r="B105" s="9">
        <v>127130</v>
      </c>
      <c r="C105" s="9" t="s">
        <v>1373</v>
      </c>
      <c r="D105" s="9" t="s">
        <v>1374</v>
      </c>
      <c r="E105" s="5">
        <f>62+13/60+11.28/3600</f>
        <v>62.219799999999999</v>
      </c>
      <c r="F105" s="5">
        <f>17+44/60+20.4/3600</f>
        <v>17.739000000000001</v>
      </c>
      <c r="G105" s="9">
        <v>18.13</v>
      </c>
      <c r="H105" s="9" t="s">
        <v>150</v>
      </c>
      <c r="I105" s="21" t="s">
        <v>8</v>
      </c>
      <c r="J105" s="21" t="s">
        <v>8</v>
      </c>
      <c r="K105" s="3" t="s">
        <v>5</v>
      </c>
      <c r="L105" s="5" t="s">
        <v>2680</v>
      </c>
      <c r="M105" s="7" t="s">
        <v>2653</v>
      </c>
      <c r="N105" s="19" t="s">
        <v>2388</v>
      </c>
      <c r="P105" s="42" t="s">
        <v>160</v>
      </c>
      <c r="AR105" s="19" t="s">
        <v>160</v>
      </c>
      <c r="AS105" s="19" t="s">
        <v>160</v>
      </c>
      <c r="AT105" s="19" t="s">
        <v>160</v>
      </c>
      <c r="AU105" s="19" t="s">
        <v>160</v>
      </c>
      <c r="AV105" s="19" t="s">
        <v>160</v>
      </c>
      <c r="AW105" s="19" t="s">
        <v>160</v>
      </c>
      <c r="AX105" s="19" t="s">
        <v>160</v>
      </c>
      <c r="AY105" s="19" t="s">
        <v>160</v>
      </c>
      <c r="AZ105" s="19" t="s">
        <v>160</v>
      </c>
      <c r="BA105" s="19" t="s">
        <v>160</v>
      </c>
      <c r="BB105" s="19"/>
      <c r="BC105" s="19"/>
      <c r="BD105" s="19"/>
      <c r="BE105" s="19"/>
    </row>
    <row r="106" spans="1:57" x14ac:dyDescent="0.25">
      <c r="A106" s="6" t="s">
        <v>706</v>
      </c>
      <c r="B106" s="9">
        <v>203</v>
      </c>
      <c r="C106" s="9" t="s">
        <v>1373</v>
      </c>
      <c r="D106" s="62" t="s">
        <v>2657</v>
      </c>
      <c r="E106" s="3">
        <f>62+13/60+11/3600</f>
        <v>62.219722222222224</v>
      </c>
      <c r="F106" s="3">
        <f>17+44/60+21/3600</f>
        <v>17.739166666666666</v>
      </c>
      <c r="G106" s="9"/>
      <c r="H106" s="9" t="s">
        <v>150</v>
      </c>
      <c r="I106" s="6" t="s">
        <v>8</v>
      </c>
      <c r="J106" s="21" t="s">
        <v>8</v>
      </c>
      <c r="K106" s="3" t="s">
        <v>5</v>
      </c>
      <c r="L106" s="5" t="s">
        <v>2043</v>
      </c>
      <c r="M106" s="7" t="s">
        <v>2656</v>
      </c>
      <c r="N106" s="19" t="s">
        <v>2388</v>
      </c>
      <c r="P106" s="42" t="s">
        <v>160</v>
      </c>
      <c r="AR106" s="19" t="s">
        <v>160</v>
      </c>
      <c r="AS106" s="19" t="s">
        <v>160</v>
      </c>
      <c r="BB106" s="19"/>
      <c r="BC106" s="19"/>
      <c r="BD106" s="19"/>
      <c r="BE106" s="19"/>
    </row>
    <row r="107" spans="1:57" x14ac:dyDescent="0.25">
      <c r="A107" s="9" t="s">
        <v>707</v>
      </c>
      <c r="B107" s="39" t="s">
        <v>201</v>
      </c>
      <c r="C107" s="24" t="s">
        <v>799</v>
      </c>
      <c r="D107" s="40" t="s">
        <v>202</v>
      </c>
      <c r="E107" s="46" t="s">
        <v>2079</v>
      </c>
      <c r="F107" s="46" t="s">
        <v>2080</v>
      </c>
      <c r="G107" s="40"/>
      <c r="H107" s="9" t="s">
        <v>150</v>
      </c>
      <c r="I107" s="41" t="s">
        <v>169</v>
      </c>
      <c r="J107" s="41" t="s">
        <v>169</v>
      </c>
      <c r="K107" s="40" t="s">
        <v>5</v>
      </c>
      <c r="L107" s="24" t="s">
        <v>2056</v>
      </c>
      <c r="M107" s="7" t="s">
        <v>2653</v>
      </c>
      <c r="P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 t="s">
        <v>160</v>
      </c>
      <c r="AS107" s="42" t="s">
        <v>160</v>
      </c>
      <c r="AT107" s="19" t="s">
        <v>160</v>
      </c>
      <c r="AV107" s="19" t="s">
        <v>160</v>
      </c>
      <c r="AZ107" s="42" t="s">
        <v>160</v>
      </c>
      <c r="BA107" s="42" t="s">
        <v>160</v>
      </c>
      <c r="BB107" s="42"/>
      <c r="BC107" s="42"/>
      <c r="BD107" s="42"/>
      <c r="BE107" s="42"/>
    </row>
    <row r="108" spans="1:57" s="94" customFormat="1" x14ac:dyDescent="0.25">
      <c r="A108" s="114" t="s">
        <v>2773</v>
      </c>
      <c r="B108" s="110" t="s">
        <v>3030</v>
      </c>
      <c r="C108" s="102" t="s">
        <v>799</v>
      </c>
      <c r="D108" s="153" t="s">
        <v>11</v>
      </c>
      <c r="E108" s="120">
        <f>59+5/60+59/3600</f>
        <v>59.099722222222226</v>
      </c>
      <c r="F108" s="120">
        <f>17+40/60+42/3600</f>
        <v>17.678333333333335</v>
      </c>
      <c r="G108" s="93"/>
      <c r="H108" s="94" t="s">
        <v>150</v>
      </c>
      <c r="I108" s="102" t="s">
        <v>169</v>
      </c>
      <c r="J108" s="102" t="s">
        <v>169</v>
      </c>
      <c r="K108" s="102" t="s">
        <v>5</v>
      </c>
      <c r="L108" s="102" t="s">
        <v>2056</v>
      </c>
      <c r="M108" s="105" t="s">
        <v>2653</v>
      </c>
      <c r="N108" s="108"/>
      <c r="O108" s="108"/>
      <c r="P108" s="106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 t="s">
        <v>160</v>
      </c>
      <c r="AS108" s="108" t="s">
        <v>160</v>
      </c>
      <c r="AT108" s="108" t="s">
        <v>160</v>
      </c>
      <c r="AU108" s="108"/>
      <c r="AV108" s="108" t="s">
        <v>160</v>
      </c>
      <c r="AW108" s="108"/>
      <c r="AX108" s="108"/>
      <c r="AY108" s="108"/>
      <c r="AZ108" s="108" t="s">
        <v>160</v>
      </c>
      <c r="BA108" s="108" t="s">
        <v>160</v>
      </c>
      <c r="BB108" s="108"/>
      <c r="BC108" s="108"/>
      <c r="BD108" s="108"/>
      <c r="BE108" s="108"/>
    </row>
    <row r="109" spans="1:57" x14ac:dyDescent="0.25">
      <c r="A109" s="6" t="s">
        <v>8</v>
      </c>
      <c r="B109" s="23">
        <v>35139</v>
      </c>
      <c r="C109" s="24" t="s">
        <v>799</v>
      </c>
      <c r="D109" s="24" t="s">
        <v>799</v>
      </c>
      <c r="E109" s="35">
        <f>59+5/60+59/3600</f>
        <v>59.099722222222226</v>
      </c>
      <c r="F109" s="35">
        <f>17+40/60+42/3600</f>
        <v>17.678333333333335</v>
      </c>
      <c r="G109" s="5"/>
      <c r="H109" s="9" t="s">
        <v>150</v>
      </c>
      <c r="I109" s="24" t="s">
        <v>169</v>
      </c>
      <c r="J109" s="24" t="s">
        <v>169</v>
      </c>
      <c r="K109" s="24" t="s">
        <v>5</v>
      </c>
      <c r="L109" s="24" t="s">
        <v>2056</v>
      </c>
      <c r="M109" s="7" t="s">
        <v>2653</v>
      </c>
      <c r="P109" s="42"/>
      <c r="AR109" s="19" t="s">
        <v>160</v>
      </c>
      <c r="AS109" s="19" t="s">
        <v>160</v>
      </c>
      <c r="AT109" s="19" t="s">
        <v>160</v>
      </c>
      <c r="AV109" s="19" t="s">
        <v>160</v>
      </c>
      <c r="AZ109" s="19" t="s">
        <v>160</v>
      </c>
      <c r="BA109" s="19" t="s">
        <v>160</v>
      </c>
      <c r="BB109" s="19"/>
      <c r="BC109" s="19"/>
      <c r="BD109" s="19"/>
      <c r="BE109" s="19"/>
    </row>
    <row r="110" spans="1:57" x14ac:dyDescent="0.25">
      <c r="A110" s="9" t="s">
        <v>706</v>
      </c>
      <c r="B110" s="38">
        <v>27</v>
      </c>
      <c r="C110" s="24" t="s">
        <v>799</v>
      </c>
      <c r="D110" s="62" t="s">
        <v>11</v>
      </c>
      <c r="E110" s="3">
        <f>59+5/60+59/3600</f>
        <v>59.099722222222226</v>
      </c>
      <c r="F110" s="3">
        <f>17+40/60+42/3600</f>
        <v>17.678333333333335</v>
      </c>
      <c r="G110" s="5"/>
      <c r="H110" s="9" t="s">
        <v>150</v>
      </c>
      <c r="I110" s="7" t="s">
        <v>169</v>
      </c>
      <c r="J110" s="7" t="s">
        <v>169</v>
      </c>
      <c r="K110" s="9" t="s">
        <v>5</v>
      </c>
      <c r="L110" s="7" t="s">
        <v>2056</v>
      </c>
      <c r="M110" s="7" t="s">
        <v>2653</v>
      </c>
      <c r="P110" s="42"/>
      <c r="AR110" s="19" t="s">
        <v>160</v>
      </c>
      <c r="AS110" s="19" t="s">
        <v>160</v>
      </c>
      <c r="AT110" s="19" t="s">
        <v>160</v>
      </c>
      <c r="AV110" s="19" t="s">
        <v>160</v>
      </c>
      <c r="AZ110" s="19" t="s">
        <v>160</v>
      </c>
      <c r="BA110" s="19" t="s">
        <v>160</v>
      </c>
      <c r="BB110" s="19"/>
      <c r="BC110" s="19"/>
      <c r="BD110" s="19"/>
      <c r="BE110" s="19"/>
    </row>
    <row r="111" spans="1:57" x14ac:dyDescent="0.25">
      <c r="A111" s="9" t="s">
        <v>707</v>
      </c>
      <c r="B111" s="137" t="s">
        <v>203</v>
      </c>
      <c r="C111" s="39" t="s">
        <v>838</v>
      </c>
      <c r="D111" s="40" t="s">
        <v>204</v>
      </c>
      <c r="E111" s="46" t="s">
        <v>2081</v>
      </c>
      <c r="F111" s="46" t="s">
        <v>2082</v>
      </c>
      <c r="G111" s="40"/>
      <c r="H111" s="9" t="s">
        <v>148</v>
      </c>
      <c r="I111" s="41" t="s">
        <v>169</v>
      </c>
      <c r="J111" s="41" t="s">
        <v>169</v>
      </c>
      <c r="K111" s="40" t="s">
        <v>6</v>
      </c>
      <c r="L111" s="41" t="s">
        <v>2030</v>
      </c>
      <c r="M111" s="7" t="s">
        <v>2653</v>
      </c>
      <c r="P111" s="42"/>
      <c r="V111" s="42" t="s">
        <v>160</v>
      </c>
      <c r="W111" s="42" t="s">
        <v>160</v>
      </c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19" t="s">
        <v>160</v>
      </c>
      <c r="AV111" s="19" t="s">
        <v>160</v>
      </c>
      <c r="AZ111" s="42"/>
      <c r="BA111" s="42"/>
      <c r="BB111" s="42"/>
      <c r="BC111" s="42"/>
      <c r="BD111" s="42"/>
      <c r="BE111" s="42"/>
    </row>
    <row r="112" spans="1:57" s="94" customFormat="1" x14ac:dyDescent="0.25">
      <c r="A112" s="98" t="s">
        <v>2773</v>
      </c>
      <c r="B112" s="139" t="s">
        <v>2831</v>
      </c>
      <c r="C112" s="102" t="s">
        <v>838</v>
      </c>
      <c r="D112" s="153" t="s">
        <v>12</v>
      </c>
      <c r="E112" s="93">
        <f>58+20.403/60</f>
        <v>58.340049999999998</v>
      </c>
      <c r="F112" s="93">
        <f>12+21.101/60</f>
        <v>12.351683333333334</v>
      </c>
      <c r="G112" s="93"/>
      <c r="H112" s="94" t="s">
        <v>148</v>
      </c>
      <c r="I112" s="102" t="s">
        <v>169</v>
      </c>
      <c r="J112" s="102" t="s">
        <v>169</v>
      </c>
      <c r="K112" s="102" t="s">
        <v>6</v>
      </c>
      <c r="L112" s="102" t="s">
        <v>2030</v>
      </c>
      <c r="M112" s="105" t="s">
        <v>2653</v>
      </c>
      <c r="N112" s="108"/>
      <c r="O112" s="108"/>
      <c r="P112" s="106"/>
      <c r="Q112" s="108"/>
      <c r="R112" s="108"/>
      <c r="S112" s="108"/>
      <c r="T112" s="108"/>
      <c r="U112" s="108"/>
      <c r="V112" s="108" t="s">
        <v>160</v>
      </c>
      <c r="W112" s="108" t="s">
        <v>160</v>
      </c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 t="s">
        <v>160</v>
      </c>
      <c r="AU112" s="108"/>
      <c r="AV112" s="108" t="s">
        <v>160</v>
      </c>
      <c r="AW112" s="108"/>
      <c r="AX112" s="108"/>
      <c r="AY112" s="108"/>
      <c r="AZ112" s="108"/>
      <c r="BA112" s="108"/>
      <c r="BB112" s="108"/>
      <c r="BC112" s="108"/>
      <c r="BD112" s="108"/>
      <c r="BE112" s="108"/>
    </row>
    <row r="113" spans="1:57" x14ac:dyDescent="0.25">
      <c r="A113" s="10" t="s">
        <v>8</v>
      </c>
      <c r="B113" s="142" t="s">
        <v>2950</v>
      </c>
      <c r="C113" s="24" t="s">
        <v>838</v>
      </c>
      <c r="D113" t="s">
        <v>12</v>
      </c>
      <c r="E113" s="5">
        <f>58+20/60+24.18/3600</f>
        <v>58.340050000000005</v>
      </c>
      <c r="F113" s="5">
        <f>12+21/60+6.059/3600</f>
        <v>12.351683055555554</v>
      </c>
      <c r="G113" s="5"/>
      <c r="H113" s="9" t="s">
        <v>148</v>
      </c>
      <c r="I113" s="24" t="s">
        <v>169</v>
      </c>
      <c r="J113" s="24" t="s">
        <v>169</v>
      </c>
      <c r="K113" s="24" t="s">
        <v>6</v>
      </c>
      <c r="L113" s="24" t="s">
        <v>2030</v>
      </c>
      <c r="M113" s="7" t="s">
        <v>2653</v>
      </c>
      <c r="P113" s="42"/>
      <c r="V113" s="19" t="s">
        <v>160</v>
      </c>
      <c r="W113" s="19" t="s">
        <v>160</v>
      </c>
      <c r="AT113" s="19" t="s">
        <v>160</v>
      </c>
      <c r="AV113" s="19" t="s">
        <v>160</v>
      </c>
      <c r="BB113" s="19"/>
      <c r="BC113" s="19"/>
      <c r="BD113" s="19"/>
      <c r="BE113" s="19"/>
    </row>
    <row r="114" spans="1:57" x14ac:dyDescent="0.25">
      <c r="A114" s="9" t="s">
        <v>706</v>
      </c>
      <c r="B114" s="140">
        <v>30</v>
      </c>
      <c r="C114" s="39" t="s">
        <v>838</v>
      </c>
      <c r="D114" s="62" t="s">
        <v>12</v>
      </c>
      <c r="E114" s="5">
        <f>58+20/60+24/3600</f>
        <v>58.34</v>
      </c>
      <c r="F114" s="5">
        <f>12+21/60+6/3600</f>
        <v>12.351666666666667</v>
      </c>
      <c r="G114" s="5"/>
      <c r="H114" s="9" t="s">
        <v>148</v>
      </c>
      <c r="I114" s="7" t="s">
        <v>169</v>
      </c>
      <c r="J114" s="7" t="s">
        <v>169</v>
      </c>
      <c r="K114" s="9" t="s">
        <v>6</v>
      </c>
      <c r="L114" s="7" t="s">
        <v>2030</v>
      </c>
      <c r="M114" s="7" t="s">
        <v>2653</v>
      </c>
      <c r="P114" s="42"/>
      <c r="V114" s="19" t="s">
        <v>160</v>
      </c>
      <c r="W114" s="19" t="s">
        <v>160</v>
      </c>
      <c r="AT114" s="19" t="s">
        <v>160</v>
      </c>
      <c r="AV114" s="19" t="s">
        <v>160</v>
      </c>
      <c r="BB114" s="19"/>
      <c r="BC114" s="19"/>
      <c r="BD114" s="19"/>
      <c r="BE114" s="19"/>
    </row>
    <row r="115" spans="1:57" x14ac:dyDescent="0.25">
      <c r="A115" s="9" t="s">
        <v>707</v>
      </c>
      <c r="B115" s="137" t="s">
        <v>205</v>
      </c>
      <c r="C115" s="39" t="s">
        <v>839</v>
      </c>
      <c r="D115" s="40" t="s">
        <v>206</v>
      </c>
      <c r="E115" s="46" t="s">
        <v>2083</v>
      </c>
      <c r="F115" s="46" t="s">
        <v>2084</v>
      </c>
      <c r="G115" s="40"/>
      <c r="H115" s="9" t="s">
        <v>148</v>
      </c>
      <c r="I115" s="41" t="s">
        <v>169</v>
      </c>
      <c r="J115" s="41" t="s">
        <v>169</v>
      </c>
      <c r="K115" s="40" t="s">
        <v>6</v>
      </c>
      <c r="L115" s="41" t="s">
        <v>2030</v>
      </c>
      <c r="M115" s="7" t="s">
        <v>2653</v>
      </c>
      <c r="P115" s="42"/>
      <c r="V115" s="42" t="s">
        <v>160</v>
      </c>
      <c r="W115" s="42" t="s">
        <v>160</v>
      </c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Z115" s="42"/>
      <c r="BA115" s="42"/>
      <c r="BB115" s="42"/>
      <c r="BC115" s="42"/>
      <c r="BD115" s="42"/>
      <c r="BE115" s="42"/>
    </row>
    <row r="116" spans="1:57" s="94" customFormat="1" x14ac:dyDescent="0.25">
      <c r="A116" s="98" t="s">
        <v>2773</v>
      </c>
      <c r="B116" s="139" t="s">
        <v>2830</v>
      </c>
      <c r="C116" s="115" t="s">
        <v>839</v>
      </c>
      <c r="D116" s="153" t="s">
        <v>13</v>
      </c>
      <c r="E116" s="81">
        <f>58+20.463/60</f>
        <v>58.341050000000003</v>
      </c>
      <c r="F116" s="81">
        <f>12+21.065/60</f>
        <v>12.351083333333333</v>
      </c>
      <c r="G116" s="93"/>
      <c r="H116" s="94" t="s">
        <v>148</v>
      </c>
      <c r="I116" s="102" t="s">
        <v>169</v>
      </c>
      <c r="J116" s="102" t="s">
        <v>169</v>
      </c>
      <c r="K116" s="102" t="s">
        <v>6</v>
      </c>
      <c r="L116" s="102" t="s">
        <v>2030</v>
      </c>
      <c r="M116" s="105" t="s">
        <v>2653</v>
      </c>
      <c r="N116" s="108"/>
      <c r="O116" s="108"/>
      <c r="P116" s="106"/>
      <c r="Q116" s="108"/>
      <c r="R116" s="108"/>
      <c r="S116" s="108"/>
      <c r="T116" s="108"/>
      <c r="U116" s="108"/>
      <c r="V116" s="108" t="s">
        <v>160</v>
      </c>
      <c r="W116" s="108" t="s">
        <v>160</v>
      </c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</row>
    <row r="117" spans="1:57" x14ac:dyDescent="0.25">
      <c r="A117" s="10" t="s">
        <v>8</v>
      </c>
      <c r="B117" s="142" t="s">
        <v>2874</v>
      </c>
      <c r="C117" s="39" t="s">
        <v>839</v>
      </c>
      <c r="D117" s="24" t="s">
        <v>800</v>
      </c>
      <c r="E117" s="43">
        <f>58+20/60+27.672/3600</f>
        <v>58.34102</v>
      </c>
      <c r="F117" s="43">
        <f>12+21/60+3.312/3600</f>
        <v>12.35092</v>
      </c>
      <c r="G117" s="5"/>
      <c r="H117" s="9" t="s">
        <v>148</v>
      </c>
      <c r="I117" s="24" t="s">
        <v>169</v>
      </c>
      <c r="J117" s="24" t="s">
        <v>169</v>
      </c>
      <c r="K117" s="24" t="s">
        <v>6</v>
      </c>
      <c r="L117" s="24" t="s">
        <v>2030</v>
      </c>
      <c r="M117" s="7" t="s">
        <v>2653</v>
      </c>
      <c r="P117" s="42"/>
      <c r="V117" s="19" t="s">
        <v>160</v>
      </c>
      <c r="W117" s="19" t="s">
        <v>160</v>
      </c>
      <c r="BB117" s="19"/>
      <c r="BC117" s="19"/>
      <c r="BD117" s="19"/>
      <c r="BE117" s="19"/>
    </row>
    <row r="118" spans="1:57" x14ac:dyDescent="0.25">
      <c r="A118" s="9" t="s">
        <v>706</v>
      </c>
      <c r="B118" s="140">
        <v>31</v>
      </c>
      <c r="C118" s="39" t="s">
        <v>839</v>
      </c>
      <c r="D118" s="62" t="s">
        <v>13</v>
      </c>
      <c r="E118" s="5">
        <f>58+20/60+28/3600</f>
        <v>58.341111111111111</v>
      </c>
      <c r="F118" s="5">
        <f>12+21/60+3/3600</f>
        <v>12.350833333333332</v>
      </c>
      <c r="G118" s="5"/>
      <c r="H118" s="9" t="s">
        <v>148</v>
      </c>
      <c r="I118" s="7" t="s">
        <v>169</v>
      </c>
      <c r="J118" s="7" t="s">
        <v>169</v>
      </c>
      <c r="K118" s="9" t="s">
        <v>6</v>
      </c>
      <c r="L118" s="7" t="s">
        <v>2030</v>
      </c>
      <c r="M118" s="7" t="s">
        <v>2653</v>
      </c>
      <c r="P118" s="42"/>
      <c r="V118" s="19" t="s">
        <v>160</v>
      </c>
      <c r="W118" s="19" t="s">
        <v>160</v>
      </c>
      <c r="BB118" s="19"/>
      <c r="BC118" s="19"/>
      <c r="BD118" s="19"/>
      <c r="BE118" s="19"/>
    </row>
    <row r="119" spans="1:57" x14ac:dyDescent="0.25">
      <c r="A119" s="9" t="s">
        <v>707</v>
      </c>
      <c r="B119" s="137" t="s">
        <v>207</v>
      </c>
      <c r="C119" s="39" t="s">
        <v>733</v>
      </c>
      <c r="D119" s="40" t="s">
        <v>208</v>
      </c>
      <c r="E119" s="46" t="s">
        <v>2206</v>
      </c>
      <c r="F119" s="46" t="s">
        <v>2198</v>
      </c>
      <c r="G119" s="40"/>
      <c r="H119" s="9" t="s">
        <v>150</v>
      </c>
      <c r="I119" s="41" t="s">
        <v>169</v>
      </c>
      <c r="J119" s="41" t="s">
        <v>169</v>
      </c>
      <c r="K119" s="40" t="s">
        <v>6</v>
      </c>
      <c r="L119" s="41" t="s">
        <v>2031</v>
      </c>
      <c r="M119" s="7" t="s">
        <v>2653</v>
      </c>
      <c r="N119" s="42" t="s">
        <v>1108</v>
      </c>
      <c r="O119" s="42" t="s">
        <v>160</v>
      </c>
      <c r="P119" s="42" t="s">
        <v>160</v>
      </c>
      <c r="Q119" s="44" t="s">
        <v>1153</v>
      </c>
      <c r="S119" s="19" t="s">
        <v>160</v>
      </c>
      <c r="T119" s="19" t="s">
        <v>160</v>
      </c>
      <c r="U119" s="19">
        <v>2</v>
      </c>
      <c r="V119" s="42" t="s">
        <v>160</v>
      </c>
      <c r="W119" s="42" t="s">
        <v>160</v>
      </c>
      <c r="X119" s="42" t="s">
        <v>160</v>
      </c>
      <c r="Y119" s="42" t="s">
        <v>160</v>
      </c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Z119" s="42"/>
      <c r="BA119" s="42"/>
      <c r="BB119" s="42"/>
      <c r="BC119" s="42"/>
      <c r="BD119" s="42"/>
      <c r="BE119" s="42"/>
    </row>
    <row r="120" spans="1:57" x14ac:dyDescent="0.25">
      <c r="A120" s="53" t="s">
        <v>2763</v>
      </c>
      <c r="B120" s="138">
        <v>35109</v>
      </c>
      <c r="C120" s="53" t="s">
        <v>733</v>
      </c>
      <c r="D120" s="53" t="s">
        <v>733</v>
      </c>
      <c r="E120" s="3">
        <f>58+20/60+9.625/3600</f>
        <v>58.336006944444449</v>
      </c>
      <c r="F120" s="3">
        <f>11+24/60+16.793/3600</f>
        <v>11.404664722222222</v>
      </c>
      <c r="G120" s="53">
        <v>1.71</v>
      </c>
      <c r="H120" s="7" t="s">
        <v>150</v>
      </c>
      <c r="I120" s="7" t="s">
        <v>169</v>
      </c>
      <c r="J120" s="53" t="s">
        <v>169</v>
      </c>
      <c r="K120" s="7" t="s">
        <v>6</v>
      </c>
      <c r="L120" s="7" t="s">
        <v>2031</v>
      </c>
      <c r="M120" s="7" t="s">
        <v>2653</v>
      </c>
      <c r="N120" s="42" t="s">
        <v>1108</v>
      </c>
      <c r="O120" s="42" t="s">
        <v>160</v>
      </c>
      <c r="P120" s="42" t="s">
        <v>160</v>
      </c>
      <c r="Q120" s="44" t="s">
        <v>1153</v>
      </c>
      <c r="S120" s="19" t="s">
        <v>160</v>
      </c>
      <c r="T120" s="19" t="s">
        <v>160</v>
      </c>
      <c r="U120" s="42">
        <v>2</v>
      </c>
      <c r="V120" s="20" t="s">
        <v>160</v>
      </c>
      <c r="W120" s="20" t="s">
        <v>160</v>
      </c>
      <c r="X120" s="20" t="s">
        <v>160</v>
      </c>
      <c r="Y120" s="20" t="s">
        <v>160</v>
      </c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94" customFormat="1" x14ac:dyDescent="0.25">
      <c r="A121" s="98" t="s">
        <v>2773</v>
      </c>
      <c r="B121" s="139" t="s">
        <v>2777</v>
      </c>
      <c r="C121" s="110" t="s">
        <v>733</v>
      </c>
      <c r="D121" s="153" t="s">
        <v>14</v>
      </c>
      <c r="E121" s="82">
        <f>58+20/60+9.6288/3600</f>
        <v>58.336008</v>
      </c>
      <c r="F121" s="82">
        <f>11+24/60+16.7688/3600</f>
        <v>11.404658</v>
      </c>
      <c r="G121" s="178">
        <v>1.71</v>
      </c>
      <c r="H121" s="105" t="s">
        <v>150</v>
      </c>
      <c r="I121" s="105" t="s">
        <v>169</v>
      </c>
      <c r="J121" s="105" t="s">
        <v>169</v>
      </c>
      <c r="K121" s="105" t="s">
        <v>6</v>
      </c>
      <c r="L121" s="105" t="s">
        <v>2031</v>
      </c>
      <c r="M121" s="105" t="s">
        <v>2653</v>
      </c>
      <c r="N121" s="106" t="s">
        <v>1108</v>
      </c>
      <c r="O121" s="106" t="s">
        <v>160</v>
      </c>
      <c r="P121" s="106" t="s">
        <v>160</v>
      </c>
      <c r="Q121" s="107" t="s">
        <v>1153</v>
      </c>
      <c r="R121" s="108"/>
      <c r="S121" s="108" t="s">
        <v>160</v>
      </c>
      <c r="T121" s="108" t="s">
        <v>160</v>
      </c>
      <c r="U121" s="106">
        <v>2</v>
      </c>
      <c r="V121" s="103" t="s">
        <v>160</v>
      </c>
      <c r="W121" s="103" t="s">
        <v>160</v>
      </c>
      <c r="X121" s="103" t="s">
        <v>160</v>
      </c>
      <c r="Y121" s="103" t="s">
        <v>160</v>
      </c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</row>
    <row r="122" spans="1:57" x14ac:dyDescent="0.25">
      <c r="A122" s="10" t="s">
        <v>8</v>
      </c>
      <c r="B122" s="142" t="s">
        <v>2864</v>
      </c>
      <c r="C122" s="23" t="s">
        <v>733</v>
      </c>
      <c r="D122" s="24" t="s">
        <v>733</v>
      </c>
      <c r="E122" s="193">
        <v>58.335999999999999</v>
      </c>
      <c r="F122" s="193">
        <v>11.4047</v>
      </c>
      <c r="G122" s="43"/>
      <c r="H122" s="7" t="s">
        <v>150</v>
      </c>
      <c r="I122" s="7" t="s">
        <v>169</v>
      </c>
      <c r="J122" s="7" t="s">
        <v>169</v>
      </c>
      <c r="K122" s="7" t="s">
        <v>6</v>
      </c>
      <c r="L122" s="7" t="s">
        <v>2031</v>
      </c>
      <c r="M122" s="7" t="s">
        <v>2653</v>
      </c>
      <c r="N122" s="42" t="s">
        <v>1108</v>
      </c>
      <c r="O122" s="42" t="s">
        <v>160</v>
      </c>
      <c r="P122" s="42" t="s">
        <v>160</v>
      </c>
      <c r="Q122" s="44" t="s">
        <v>1153</v>
      </c>
      <c r="S122" s="19" t="s">
        <v>160</v>
      </c>
      <c r="T122" s="19" t="s">
        <v>160</v>
      </c>
      <c r="U122" s="42">
        <v>2</v>
      </c>
      <c r="V122" s="20" t="s">
        <v>160</v>
      </c>
      <c r="W122" s="20" t="s">
        <v>160</v>
      </c>
      <c r="X122" s="20" t="s">
        <v>160</v>
      </c>
      <c r="Y122" s="20" t="s">
        <v>160</v>
      </c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</row>
    <row r="123" spans="1:57" x14ac:dyDescent="0.25">
      <c r="A123" s="9" t="s">
        <v>706</v>
      </c>
      <c r="B123" s="140">
        <v>32</v>
      </c>
      <c r="C123" s="38" t="s">
        <v>733</v>
      </c>
      <c r="D123" s="62" t="s">
        <v>14</v>
      </c>
      <c r="E123" s="35">
        <f>58+20/60+10/3600</f>
        <v>58.336111111111116</v>
      </c>
      <c r="F123" s="35">
        <f>11+24/60+17/3600</f>
        <v>11.404722222222222</v>
      </c>
      <c r="G123" s="43"/>
      <c r="H123" s="9" t="s">
        <v>150</v>
      </c>
      <c r="I123" s="7" t="s">
        <v>169</v>
      </c>
      <c r="J123" s="7" t="s">
        <v>169</v>
      </c>
      <c r="K123" s="9" t="s">
        <v>6</v>
      </c>
      <c r="L123" s="7" t="s">
        <v>2031</v>
      </c>
      <c r="M123" s="7" t="s">
        <v>2653</v>
      </c>
      <c r="N123" s="42" t="s">
        <v>1108</v>
      </c>
      <c r="O123" s="42" t="s">
        <v>160</v>
      </c>
      <c r="P123" s="42" t="s">
        <v>160</v>
      </c>
      <c r="Q123" s="44" t="s">
        <v>1153</v>
      </c>
      <c r="S123" s="19" t="s">
        <v>160</v>
      </c>
      <c r="T123" s="19" t="s">
        <v>160</v>
      </c>
      <c r="U123" s="19">
        <v>2</v>
      </c>
      <c r="V123" s="19" t="s">
        <v>160</v>
      </c>
      <c r="W123" s="19" t="s">
        <v>160</v>
      </c>
      <c r="X123" s="19" t="s">
        <v>160</v>
      </c>
      <c r="Y123" s="19" t="s">
        <v>160</v>
      </c>
      <c r="BB123" s="19"/>
      <c r="BC123" s="19"/>
      <c r="BD123" s="19"/>
      <c r="BE123" s="19"/>
    </row>
    <row r="124" spans="1:57" x14ac:dyDescent="0.25">
      <c r="A124" s="9" t="s">
        <v>706</v>
      </c>
      <c r="B124" s="38">
        <v>24</v>
      </c>
      <c r="C124" s="38" t="s">
        <v>887</v>
      </c>
      <c r="D124" s="6" t="s">
        <v>15</v>
      </c>
      <c r="E124" s="3">
        <v>58.342849999999999</v>
      </c>
      <c r="F124" s="3">
        <v>11.401249999999999</v>
      </c>
      <c r="H124" s="9" t="s">
        <v>150</v>
      </c>
      <c r="I124" s="7" t="s">
        <v>169</v>
      </c>
      <c r="J124" s="7" t="s">
        <v>169</v>
      </c>
      <c r="K124" s="9" t="s">
        <v>16</v>
      </c>
      <c r="L124" s="7" t="s">
        <v>16</v>
      </c>
      <c r="M124" s="7" t="s">
        <v>2653</v>
      </c>
      <c r="P124" s="42"/>
      <c r="BB124" s="19"/>
      <c r="BC124" s="19"/>
      <c r="BD124" s="19"/>
      <c r="BE124" s="19"/>
    </row>
    <row r="125" spans="1:57" x14ac:dyDescent="0.25">
      <c r="A125" s="9" t="s">
        <v>707</v>
      </c>
      <c r="B125" s="39" t="s">
        <v>209</v>
      </c>
      <c r="C125" s="23" t="s">
        <v>886</v>
      </c>
      <c r="D125" s="40" t="s">
        <v>210</v>
      </c>
      <c r="E125" s="46" t="s">
        <v>212</v>
      </c>
      <c r="F125" s="46" t="s">
        <v>211</v>
      </c>
      <c r="G125" s="40"/>
      <c r="H125" s="9" t="s">
        <v>150</v>
      </c>
      <c r="I125" s="41" t="s">
        <v>169</v>
      </c>
      <c r="J125" s="41" t="s">
        <v>169</v>
      </c>
      <c r="K125" s="40" t="s">
        <v>951</v>
      </c>
      <c r="L125" s="41" t="s">
        <v>2050</v>
      </c>
      <c r="M125" s="7" t="s">
        <v>2653</v>
      </c>
      <c r="N125" s="19" t="s">
        <v>1696</v>
      </c>
      <c r="O125" s="42" t="s">
        <v>160</v>
      </c>
      <c r="P125" s="42" t="s">
        <v>160</v>
      </c>
      <c r="S125" s="19" t="s">
        <v>160</v>
      </c>
      <c r="T125" s="19" t="s">
        <v>160</v>
      </c>
      <c r="V125" s="42"/>
      <c r="W125" s="42"/>
      <c r="X125" s="42" t="s">
        <v>160</v>
      </c>
      <c r="Y125" s="42" t="s">
        <v>160</v>
      </c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 t="s">
        <v>160</v>
      </c>
      <c r="AO125" s="42" t="s">
        <v>160</v>
      </c>
      <c r="AP125" s="42"/>
      <c r="AQ125" s="42"/>
      <c r="AR125" s="42"/>
      <c r="AS125" s="42"/>
      <c r="AZ125" s="42"/>
      <c r="BA125" s="42"/>
      <c r="BB125" s="42"/>
      <c r="BC125" s="42"/>
      <c r="BD125" s="42"/>
      <c r="BE125" s="42"/>
    </row>
    <row r="126" spans="1:57" s="94" customFormat="1" x14ac:dyDescent="0.25">
      <c r="A126" s="114" t="s">
        <v>2773</v>
      </c>
      <c r="B126" s="99" t="s">
        <v>3029</v>
      </c>
      <c r="C126" s="110" t="s">
        <v>886</v>
      </c>
      <c r="D126" s="153" t="s">
        <v>709</v>
      </c>
      <c r="E126" s="84">
        <f>58+16/60</f>
        <v>58.266666666666666</v>
      </c>
      <c r="F126" s="84">
        <f>11+15/60</f>
        <v>11.25</v>
      </c>
      <c r="G126" s="84"/>
      <c r="H126" s="94" t="s">
        <v>150</v>
      </c>
      <c r="I126" s="102" t="s">
        <v>169</v>
      </c>
      <c r="J126" s="102" t="s">
        <v>169</v>
      </c>
      <c r="K126" s="98" t="s">
        <v>951</v>
      </c>
      <c r="L126" s="102" t="s">
        <v>2050</v>
      </c>
      <c r="M126" s="105" t="s">
        <v>2653</v>
      </c>
      <c r="N126" s="108" t="s">
        <v>1696</v>
      </c>
      <c r="O126" s="106" t="s">
        <v>160</v>
      </c>
      <c r="P126" s="106" t="s">
        <v>160</v>
      </c>
      <c r="Q126" s="108"/>
      <c r="R126" s="108"/>
      <c r="S126" s="108" t="s">
        <v>160</v>
      </c>
      <c r="T126" s="108" t="s">
        <v>160</v>
      </c>
      <c r="U126" s="108"/>
      <c r="V126" s="108"/>
      <c r="W126" s="108"/>
      <c r="X126" s="108" t="s">
        <v>160</v>
      </c>
      <c r="Y126" s="108" t="s">
        <v>160</v>
      </c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 t="s">
        <v>160</v>
      </c>
      <c r="AO126" s="108" t="s">
        <v>160</v>
      </c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</row>
    <row r="127" spans="1:57" x14ac:dyDescent="0.25">
      <c r="A127" s="6" t="s">
        <v>8</v>
      </c>
      <c r="B127" s="26">
        <v>33033</v>
      </c>
      <c r="C127" s="23" t="s">
        <v>886</v>
      </c>
      <c r="D127" t="s">
        <v>709</v>
      </c>
      <c r="E127" s="25">
        <v>58.2667</v>
      </c>
      <c r="F127" s="25">
        <v>11.25</v>
      </c>
      <c r="G127" s="25"/>
      <c r="H127" s="9" t="s">
        <v>150</v>
      </c>
      <c r="I127" s="24" t="s">
        <v>169</v>
      </c>
      <c r="J127" s="24" t="s">
        <v>169</v>
      </c>
      <c r="K127" s="10" t="s">
        <v>951</v>
      </c>
      <c r="L127" s="24" t="s">
        <v>2050</v>
      </c>
      <c r="M127" s="7" t="s">
        <v>2653</v>
      </c>
      <c r="N127" s="19" t="s">
        <v>1696</v>
      </c>
      <c r="O127" s="42" t="s">
        <v>160</v>
      </c>
      <c r="P127" s="42" t="s">
        <v>160</v>
      </c>
      <c r="S127" s="19" t="s">
        <v>160</v>
      </c>
      <c r="T127" s="19" t="s">
        <v>160</v>
      </c>
      <c r="X127" s="19" t="s">
        <v>160</v>
      </c>
      <c r="Y127" s="19" t="s">
        <v>160</v>
      </c>
      <c r="AN127" s="19" t="s">
        <v>160</v>
      </c>
      <c r="AO127" s="19" t="s">
        <v>160</v>
      </c>
      <c r="BB127" s="19"/>
      <c r="BC127" s="19"/>
      <c r="BD127" s="19"/>
      <c r="BE127" s="19"/>
    </row>
    <row r="128" spans="1:57" x14ac:dyDescent="0.25">
      <c r="A128" s="9" t="s">
        <v>706</v>
      </c>
      <c r="B128" s="38">
        <v>135</v>
      </c>
      <c r="C128" s="23" t="s">
        <v>886</v>
      </c>
      <c r="D128" s="62" t="s">
        <v>17</v>
      </c>
      <c r="E128" s="5">
        <f>58+15/60+8/3600</f>
        <v>58.252222222222223</v>
      </c>
      <c r="F128" s="5">
        <f>11+13/60+20/3600</f>
        <v>11.222222222222223</v>
      </c>
      <c r="H128" s="9" t="s">
        <v>150</v>
      </c>
      <c r="I128" s="7" t="s">
        <v>169</v>
      </c>
      <c r="J128" s="7" t="s">
        <v>169</v>
      </c>
      <c r="K128" s="9" t="s">
        <v>951</v>
      </c>
      <c r="L128" s="7" t="s">
        <v>2050</v>
      </c>
      <c r="M128" s="7" t="s">
        <v>2653</v>
      </c>
      <c r="N128" s="19" t="s">
        <v>1696</v>
      </c>
      <c r="O128" s="42" t="s">
        <v>160</v>
      </c>
      <c r="P128" s="42" t="s">
        <v>160</v>
      </c>
      <c r="S128" s="19" t="s">
        <v>160</v>
      </c>
      <c r="T128" s="19" t="s">
        <v>160</v>
      </c>
      <c r="X128" s="19" t="s">
        <v>160</v>
      </c>
      <c r="Y128" s="19" t="s">
        <v>160</v>
      </c>
      <c r="AN128" s="19" t="s">
        <v>160</v>
      </c>
      <c r="AO128" s="19" t="s">
        <v>160</v>
      </c>
      <c r="BB128" s="19"/>
      <c r="BC128" s="19"/>
      <c r="BD128" s="19"/>
      <c r="BE128" s="19"/>
    </row>
    <row r="129" spans="1:57" x14ac:dyDescent="0.25">
      <c r="A129" s="9" t="s">
        <v>8</v>
      </c>
      <c r="B129" s="38">
        <v>78240</v>
      </c>
      <c r="C129" s="23" t="s">
        <v>2597</v>
      </c>
      <c r="D129" s="24" t="s">
        <v>2598</v>
      </c>
      <c r="E129" s="3">
        <v>57.403399999999998</v>
      </c>
      <c r="F129" s="3">
        <v>18.529699999999998</v>
      </c>
      <c r="G129" s="38">
        <v>45</v>
      </c>
      <c r="H129" s="9"/>
      <c r="I129" s="9" t="s">
        <v>8</v>
      </c>
      <c r="J129" s="7" t="s">
        <v>8</v>
      </c>
      <c r="K129" s="9" t="s">
        <v>5</v>
      </c>
      <c r="L129" s="7" t="s">
        <v>2681</v>
      </c>
      <c r="M129" s="7" t="s">
        <v>717</v>
      </c>
      <c r="N129" s="19" t="s">
        <v>2599</v>
      </c>
      <c r="O129" s="42"/>
      <c r="P129" s="42" t="s">
        <v>160</v>
      </c>
      <c r="AR129" s="19" t="s">
        <v>160</v>
      </c>
      <c r="AT129" s="19" t="s">
        <v>160</v>
      </c>
      <c r="AX129" s="19" t="s">
        <v>160</v>
      </c>
      <c r="AZ129" s="19" t="s">
        <v>160</v>
      </c>
      <c r="BB129" s="19"/>
      <c r="BC129" s="19"/>
      <c r="BD129" s="19"/>
      <c r="BE129" s="19"/>
    </row>
    <row r="130" spans="1:57" s="94" customFormat="1" x14ac:dyDescent="0.25">
      <c r="A130" s="98" t="s">
        <v>2773</v>
      </c>
      <c r="B130" s="135">
        <v>2084</v>
      </c>
      <c r="C130" s="98" t="s">
        <v>1228</v>
      </c>
      <c r="D130" s="98" t="s">
        <v>1228</v>
      </c>
      <c r="E130" s="189">
        <f>57+19/60+48/3600</f>
        <v>57.330000000000005</v>
      </c>
      <c r="F130" s="189">
        <f>17+0/60+36/3600</f>
        <v>17.010000000000002</v>
      </c>
      <c r="G130" s="151"/>
      <c r="H130" s="98" t="s">
        <v>150</v>
      </c>
      <c r="I130" s="98" t="s">
        <v>8</v>
      </c>
      <c r="J130" s="102" t="s">
        <v>8</v>
      </c>
      <c r="K130" s="98" t="s">
        <v>6</v>
      </c>
      <c r="L130" s="102" t="s">
        <v>2030</v>
      </c>
      <c r="M130" s="102" t="s">
        <v>717</v>
      </c>
      <c r="N130" s="104" t="s">
        <v>1305</v>
      </c>
      <c r="O130" s="104"/>
      <c r="P130" s="104"/>
      <c r="Q130" s="103" t="s">
        <v>1634</v>
      </c>
      <c r="R130" s="103"/>
      <c r="S130" s="103"/>
      <c r="T130" s="103"/>
      <c r="U130" s="104">
        <v>4</v>
      </c>
      <c r="V130" s="103" t="s">
        <v>160</v>
      </c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  <c r="BD130" s="103"/>
      <c r="BE130" s="103"/>
    </row>
    <row r="131" spans="1:57" x14ac:dyDescent="0.25">
      <c r="A131" s="10" t="s">
        <v>8</v>
      </c>
      <c r="B131" s="155">
        <v>2084</v>
      </c>
      <c r="C131" s="10" t="s">
        <v>1228</v>
      </c>
      <c r="D131" s="10" t="s">
        <v>1228</v>
      </c>
      <c r="E131" s="195">
        <v>57.33</v>
      </c>
      <c r="F131" s="195">
        <v>17.010000000000002</v>
      </c>
      <c r="G131" s="158"/>
      <c r="H131" s="10" t="s">
        <v>150</v>
      </c>
      <c r="I131" s="10" t="s">
        <v>8</v>
      </c>
      <c r="J131" s="24" t="s">
        <v>8</v>
      </c>
      <c r="K131" s="10" t="s">
        <v>6</v>
      </c>
      <c r="L131" s="24" t="s">
        <v>2030</v>
      </c>
      <c r="M131" s="24" t="s">
        <v>717</v>
      </c>
      <c r="N131" s="22" t="s">
        <v>1305</v>
      </c>
      <c r="O131" s="22"/>
      <c r="P131" s="22"/>
      <c r="Q131" s="20" t="s">
        <v>1634</v>
      </c>
      <c r="R131" s="20"/>
      <c r="S131" s="20"/>
      <c r="T131" s="20"/>
      <c r="U131" s="22">
        <v>4</v>
      </c>
      <c r="V131" s="20" t="s">
        <v>160</v>
      </c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</row>
    <row r="132" spans="1:57" x14ac:dyDescent="0.25">
      <c r="A132" s="10" t="s">
        <v>8</v>
      </c>
      <c r="B132" s="27">
        <v>37339</v>
      </c>
      <c r="C132" s="28" t="s">
        <v>1905</v>
      </c>
      <c r="D132" s="28" t="s">
        <v>1795</v>
      </c>
      <c r="E132" s="25">
        <v>57.466700000000003</v>
      </c>
      <c r="F132" s="25">
        <v>11.6167</v>
      </c>
      <c r="H132" s="10" t="s">
        <v>150</v>
      </c>
      <c r="I132" s="10" t="s">
        <v>8</v>
      </c>
      <c r="J132" s="24" t="s">
        <v>8</v>
      </c>
      <c r="K132" s="6" t="s">
        <v>2455</v>
      </c>
      <c r="L132" s="7" t="s">
        <v>2027</v>
      </c>
      <c r="M132" s="28" t="s">
        <v>717</v>
      </c>
      <c r="N132" s="19" t="s">
        <v>1812</v>
      </c>
      <c r="T132" s="7"/>
      <c r="X132" s="19" t="s">
        <v>160</v>
      </c>
      <c r="BA132" s="7"/>
      <c r="BB132" s="7"/>
      <c r="BC132" s="7"/>
      <c r="BD132" s="7"/>
      <c r="BE132" s="7"/>
    </row>
    <row r="133" spans="1:57" x14ac:dyDescent="0.25">
      <c r="A133" s="10" t="s">
        <v>8</v>
      </c>
      <c r="B133" s="27">
        <v>37330</v>
      </c>
      <c r="C133" s="28" t="s">
        <v>1881</v>
      </c>
      <c r="D133" s="28" t="s">
        <v>1786</v>
      </c>
      <c r="E133" s="25">
        <v>54.5</v>
      </c>
      <c r="F133" s="25">
        <v>10.2667</v>
      </c>
      <c r="H133" s="10" t="s">
        <v>150</v>
      </c>
      <c r="I133" s="10" t="s">
        <v>8</v>
      </c>
      <c r="J133" s="24" t="s">
        <v>8</v>
      </c>
      <c r="K133" s="6" t="s">
        <v>2455</v>
      </c>
      <c r="L133" s="7" t="s">
        <v>2027</v>
      </c>
      <c r="M133" s="28" t="s">
        <v>717</v>
      </c>
      <c r="N133" s="19" t="s">
        <v>1811</v>
      </c>
      <c r="T133" s="7"/>
      <c r="X133" s="19" t="s">
        <v>160</v>
      </c>
      <c r="BA133" s="7"/>
      <c r="BB133" s="7"/>
      <c r="BC133" s="7"/>
      <c r="BD133" s="7"/>
      <c r="BE133" s="7"/>
    </row>
    <row r="134" spans="1:57" x14ac:dyDescent="0.25">
      <c r="A134" s="10" t="s">
        <v>8</v>
      </c>
      <c r="B134" s="27">
        <v>37331</v>
      </c>
      <c r="C134" s="28" t="s">
        <v>1882</v>
      </c>
      <c r="D134" s="28" t="s">
        <v>1787</v>
      </c>
      <c r="E134" s="25">
        <v>54.666699999999999</v>
      </c>
      <c r="F134" s="25">
        <v>10.75</v>
      </c>
      <c r="H134" s="10" t="s">
        <v>150</v>
      </c>
      <c r="I134" s="10" t="s">
        <v>8</v>
      </c>
      <c r="J134" s="24" t="s">
        <v>8</v>
      </c>
      <c r="K134" s="6" t="s">
        <v>2455</v>
      </c>
      <c r="L134" s="7" t="s">
        <v>2027</v>
      </c>
      <c r="M134" s="28" t="s">
        <v>717</v>
      </c>
      <c r="N134" s="19" t="s">
        <v>1812</v>
      </c>
      <c r="T134" s="7"/>
      <c r="X134" s="19" t="s">
        <v>160</v>
      </c>
      <c r="BA134" s="7"/>
      <c r="BB134" s="7"/>
      <c r="BC134" s="7"/>
      <c r="BD134" s="7"/>
      <c r="BE134" s="7"/>
    </row>
    <row r="135" spans="1:57" x14ac:dyDescent="0.25">
      <c r="A135" s="10" t="s">
        <v>8</v>
      </c>
      <c r="B135" s="27">
        <v>37332</v>
      </c>
      <c r="C135" s="28" t="s">
        <v>1883</v>
      </c>
      <c r="D135" s="28" t="s">
        <v>1788</v>
      </c>
      <c r="E135" s="25">
        <v>55</v>
      </c>
      <c r="F135" s="25">
        <v>11.033300000000001</v>
      </c>
      <c r="H135" s="10" t="s">
        <v>150</v>
      </c>
      <c r="I135" s="10" t="s">
        <v>8</v>
      </c>
      <c r="J135" s="24" t="s">
        <v>8</v>
      </c>
      <c r="K135" s="6" t="s">
        <v>2455</v>
      </c>
      <c r="L135" s="7" t="s">
        <v>2027</v>
      </c>
      <c r="M135" s="28" t="s">
        <v>717</v>
      </c>
      <c r="N135" s="19" t="s">
        <v>1812</v>
      </c>
      <c r="T135" s="7"/>
      <c r="X135" s="19" t="s">
        <v>160</v>
      </c>
      <c r="BA135" s="7"/>
      <c r="BB135" s="7"/>
      <c r="BC135" s="7"/>
      <c r="BD135" s="7"/>
      <c r="BE135" s="7"/>
    </row>
    <row r="136" spans="1:57" x14ac:dyDescent="0.25">
      <c r="A136" s="10" t="s">
        <v>8</v>
      </c>
      <c r="B136" s="27">
        <v>37333</v>
      </c>
      <c r="C136" s="28" t="s">
        <v>1884</v>
      </c>
      <c r="D136" s="28" t="s">
        <v>1789</v>
      </c>
      <c r="E136" s="25">
        <v>55.5167</v>
      </c>
      <c r="F136" s="25">
        <v>10.8667</v>
      </c>
      <c r="H136" s="10" t="s">
        <v>150</v>
      </c>
      <c r="I136" s="10" t="s">
        <v>8</v>
      </c>
      <c r="J136" s="24" t="s">
        <v>8</v>
      </c>
      <c r="K136" s="6" t="s">
        <v>2455</v>
      </c>
      <c r="L136" s="7" t="s">
        <v>2027</v>
      </c>
      <c r="M136" s="28" t="s">
        <v>717</v>
      </c>
      <c r="N136" s="19" t="s">
        <v>1812</v>
      </c>
      <c r="T136" s="7"/>
      <c r="X136" s="19" t="s">
        <v>160</v>
      </c>
      <c r="BA136" s="7"/>
      <c r="BB136" s="7"/>
      <c r="BC136" s="7"/>
      <c r="BD136" s="7"/>
      <c r="BE136" s="7"/>
    </row>
    <row r="137" spans="1:57" x14ac:dyDescent="0.25">
      <c r="A137" s="10" t="s">
        <v>8</v>
      </c>
      <c r="B137" s="27">
        <v>37334</v>
      </c>
      <c r="C137" s="28" t="s">
        <v>1885</v>
      </c>
      <c r="D137" s="28" t="s">
        <v>1790</v>
      </c>
      <c r="E137" s="25">
        <v>55.75</v>
      </c>
      <c r="F137" s="25">
        <v>10.833299999999999</v>
      </c>
      <c r="H137" s="10" t="s">
        <v>150</v>
      </c>
      <c r="I137" s="10" t="s">
        <v>8</v>
      </c>
      <c r="J137" s="24" t="s">
        <v>8</v>
      </c>
      <c r="K137" s="6" t="s">
        <v>2455</v>
      </c>
      <c r="L137" s="7" t="s">
        <v>2027</v>
      </c>
      <c r="M137" s="28" t="s">
        <v>717</v>
      </c>
      <c r="N137" s="19" t="s">
        <v>1812</v>
      </c>
      <c r="T137" s="7"/>
      <c r="X137" s="19" t="s">
        <v>160</v>
      </c>
      <c r="BA137" s="7"/>
      <c r="BB137" s="7"/>
      <c r="BC137" s="7"/>
      <c r="BD137" s="7"/>
      <c r="BE137" s="7"/>
    </row>
    <row r="138" spans="1:57" x14ac:dyDescent="0.25">
      <c r="A138" s="10" t="s">
        <v>8</v>
      </c>
      <c r="B138" s="27">
        <v>37335</v>
      </c>
      <c r="C138" s="28" t="s">
        <v>1886</v>
      </c>
      <c r="D138" s="28" t="s">
        <v>1791</v>
      </c>
      <c r="E138" s="25">
        <v>56.1</v>
      </c>
      <c r="F138" s="25">
        <v>11.1333</v>
      </c>
      <c r="H138" s="10" t="s">
        <v>150</v>
      </c>
      <c r="I138" s="10" t="s">
        <v>8</v>
      </c>
      <c r="J138" s="24" t="s">
        <v>8</v>
      </c>
      <c r="K138" s="6" t="s">
        <v>2455</v>
      </c>
      <c r="L138" s="7" t="s">
        <v>2027</v>
      </c>
      <c r="M138" s="28" t="s">
        <v>717</v>
      </c>
      <c r="N138" s="19" t="s">
        <v>1812</v>
      </c>
      <c r="T138" s="7"/>
      <c r="X138" s="19" t="s">
        <v>160</v>
      </c>
      <c r="BA138" s="7"/>
      <c r="BB138" s="7"/>
      <c r="BC138" s="7"/>
      <c r="BD138" s="7"/>
      <c r="BE138" s="7"/>
    </row>
    <row r="139" spans="1:57" x14ac:dyDescent="0.25">
      <c r="A139" s="10" t="s">
        <v>8</v>
      </c>
      <c r="B139" s="27">
        <v>37336</v>
      </c>
      <c r="C139" s="28" t="s">
        <v>1887</v>
      </c>
      <c r="D139" s="28" t="s">
        <v>1792</v>
      </c>
      <c r="E139" s="25">
        <v>56.5167</v>
      </c>
      <c r="F139" s="25">
        <v>11.6167</v>
      </c>
      <c r="H139" s="10" t="s">
        <v>150</v>
      </c>
      <c r="I139" s="10" t="s">
        <v>8</v>
      </c>
      <c r="J139" s="24" t="s">
        <v>8</v>
      </c>
      <c r="K139" s="6" t="s">
        <v>2455</v>
      </c>
      <c r="L139" s="7" t="s">
        <v>2027</v>
      </c>
      <c r="M139" s="28" t="s">
        <v>717</v>
      </c>
      <c r="N139" s="19" t="s">
        <v>1866</v>
      </c>
      <c r="T139" s="7"/>
      <c r="X139" s="19" t="s">
        <v>160</v>
      </c>
      <c r="BA139" s="7"/>
      <c r="BB139" s="7"/>
      <c r="BC139" s="7"/>
      <c r="BD139" s="7"/>
      <c r="BE139" s="7"/>
    </row>
    <row r="140" spans="1:57" x14ac:dyDescent="0.25">
      <c r="A140" s="10" t="s">
        <v>8</v>
      </c>
      <c r="B140" s="27">
        <v>37337</v>
      </c>
      <c r="C140" s="28" t="s">
        <v>1888</v>
      </c>
      <c r="D140" s="28" t="s">
        <v>1793</v>
      </c>
      <c r="E140" s="25">
        <v>56.75</v>
      </c>
      <c r="F140" s="25">
        <v>11.85</v>
      </c>
      <c r="H140" s="10" t="s">
        <v>150</v>
      </c>
      <c r="I140" s="10" t="s">
        <v>8</v>
      </c>
      <c r="J140" s="24" t="s">
        <v>8</v>
      </c>
      <c r="K140" s="6" t="s">
        <v>2455</v>
      </c>
      <c r="L140" s="7" t="s">
        <v>2027</v>
      </c>
      <c r="M140" s="28" t="s">
        <v>717</v>
      </c>
      <c r="N140" s="19" t="s">
        <v>1866</v>
      </c>
      <c r="T140" s="7"/>
      <c r="X140" s="19" t="s">
        <v>160</v>
      </c>
      <c r="BA140" s="7"/>
      <c r="BB140" s="7"/>
      <c r="BC140" s="7"/>
      <c r="BD140" s="7"/>
      <c r="BE140" s="7"/>
    </row>
    <row r="141" spans="1:57" x14ac:dyDescent="0.25">
      <c r="A141" s="10" t="s">
        <v>8</v>
      </c>
      <c r="B141" s="27">
        <v>37338</v>
      </c>
      <c r="C141" s="28" t="s">
        <v>1889</v>
      </c>
      <c r="D141" s="28" t="s">
        <v>1794</v>
      </c>
      <c r="E141" s="25">
        <v>57.15</v>
      </c>
      <c r="F141" s="25">
        <v>11.65</v>
      </c>
      <c r="H141" s="10" t="s">
        <v>150</v>
      </c>
      <c r="I141" s="10" t="s">
        <v>8</v>
      </c>
      <c r="J141" s="24" t="s">
        <v>8</v>
      </c>
      <c r="K141" s="6" t="s">
        <v>2455</v>
      </c>
      <c r="L141" s="7" t="s">
        <v>2027</v>
      </c>
      <c r="M141" s="28" t="s">
        <v>717</v>
      </c>
      <c r="N141" s="19" t="s">
        <v>1812</v>
      </c>
      <c r="T141" s="7"/>
      <c r="X141" s="19" t="s">
        <v>160</v>
      </c>
      <c r="BA141" s="7"/>
      <c r="BB141" s="7"/>
      <c r="BC141" s="7"/>
      <c r="BD141" s="7"/>
      <c r="BE141" s="7"/>
    </row>
    <row r="142" spans="1:57" x14ac:dyDescent="0.25">
      <c r="A142" s="10" t="s">
        <v>8</v>
      </c>
      <c r="B142" s="27">
        <v>37240</v>
      </c>
      <c r="C142" s="28" t="s">
        <v>1890</v>
      </c>
      <c r="D142" s="28" t="s">
        <v>1749</v>
      </c>
      <c r="E142" s="25">
        <v>58.7333</v>
      </c>
      <c r="F142" s="25">
        <v>18.149999999999999</v>
      </c>
      <c r="H142" s="10" t="s">
        <v>150</v>
      </c>
      <c r="I142" s="10" t="s">
        <v>8</v>
      </c>
      <c r="J142" s="24" t="s">
        <v>8</v>
      </c>
      <c r="K142" s="6" t="s">
        <v>2455</v>
      </c>
      <c r="L142" s="7" t="s">
        <v>2027</v>
      </c>
      <c r="M142" s="28" t="s">
        <v>717</v>
      </c>
      <c r="N142" s="19" t="s">
        <v>1847</v>
      </c>
      <c r="T142" s="7"/>
      <c r="X142" s="19" t="s">
        <v>160</v>
      </c>
      <c r="BA142" s="7"/>
      <c r="BB142" s="7"/>
      <c r="BC142" s="7"/>
      <c r="BD142" s="7"/>
      <c r="BE142" s="7"/>
    </row>
    <row r="143" spans="1:57" x14ac:dyDescent="0.25">
      <c r="A143" s="10" t="s">
        <v>8</v>
      </c>
      <c r="B143" s="27">
        <v>37241</v>
      </c>
      <c r="C143" s="28" t="s">
        <v>1891</v>
      </c>
      <c r="D143" s="28" t="s">
        <v>1750</v>
      </c>
      <c r="E143" s="25">
        <v>58.4</v>
      </c>
      <c r="F143" s="25">
        <v>18.166699999999999</v>
      </c>
      <c r="H143" s="10" t="s">
        <v>150</v>
      </c>
      <c r="I143" s="10" t="s">
        <v>8</v>
      </c>
      <c r="J143" s="24" t="s">
        <v>8</v>
      </c>
      <c r="K143" s="6" t="s">
        <v>2455</v>
      </c>
      <c r="L143" s="7" t="s">
        <v>2027</v>
      </c>
      <c r="M143" s="28" t="s">
        <v>717</v>
      </c>
      <c r="N143" s="19" t="s">
        <v>1847</v>
      </c>
      <c r="T143" s="7"/>
      <c r="X143" s="19" t="s">
        <v>160</v>
      </c>
      <c r="BA143" s="7"/>
      <c r="BB143" s="7"/>
      <c r="BC143" s="7"/>
      <c r="BD143" s="7"/>
      <c r="BE143" s="7"/>
    </row>
    <row r="144" spans="1:57" x14ac:dyDescent="0.25">
      <c r="A144" s="10" t="s">
        <v>8</v>
      </c>
      <c r="B144" s="27">
        <v>37242</v>
      </c>
      <c r="C144" s="28" t="s">
        <v>1892</v>
      </c>
      <c r="D144" s="28" t="s">
        <v>1751</v>
      </c>
      <c r="E144" s="25">
        <v>57.833300000000001</v>
      </c>
      <c r="F144" s="25">
        <v>18.25</v>
      </c>
      <c r="H144" s="10" t="s">
        <v>150</v>
      </c>
      <c r="I144" s="10" t="s">
        <v>8</v>
      </c>
      <c r="J144" s="24" t="s">
        <v>8</v>
      </c>
      <c r="K144" s="6" t="s">
        <v>2455</v>
      </c>
      <c r="L144" s="7" t="s">
        <v>2027</v>
      </c>
      <c r="M144" s="28" t="s">
        <v>717</v>
      </c>
      <c r="N144" s="19" t="s">
        <v>1847</v>
      </c>
      <c r="T144" s="7"/>
      <c r="X144" s="19" t="s">
        <v>160</v>
      </c>
      <c r="BA144" s="7"/>
      <c r="BB144" s="7"/>
      <c r="BC144" s="7"/>
      <c r="BD144" s="7"/>
      <c r="BE144" s="7"/>
    </row>
    <row r="145" spans="1:57" s="94" customFormat="1" x14ac:dyDescent="0.25">
      <c r="A145" s="98" t="s">
        <v>2773</v>
      </c>
      <c r="B145" s="135">
        <v>2135</v>
      </c>
      <c r="C145" s="98" t="s">
        <v>1260</v>
      </c>
      <c r="D145" s="98" t="s">
        <v>1220</v>
      </c>
      <c r="E145" s="189">
        <f>59+7/60+48/3600</f>
        <v>59.13</v>
      </c>
      <c r="F145" s="189">
        <f>18+24/60</f>
        <v>18.399999999999999</v>
      </c>
      <c r="G145" s="101"/>
      <c r="H145" s="98" t="s">
        <v>150</v>
      </c>
      <c r="I145" s="98" t="s">
        <v>8</v>
      </c>
      <c r="J145" s="102" t="s">
        <v>8</v>
      </c>
      <c r="K145" s="98" t="s">
        <v>6</v>
      </c>
      <c r="L145" s="102" t="s">
        <v>2030</v>
      </c>
      <c r="M145" s="102" t="s">
        <v>717</v>
      </c>
      <c r="N145" s="104" t="s">
        <v>1295</v>
      </c>
      <c r="O145" s="104"/>
      <c r="P145" s="104"/>
      <c r="Q145" s="103" t="s">
        <v>1635</v>
      </c>
      <c r="R145" s="103"/>
      <c r="S145" s="103"/>
      <c r="T145" s="103"/>
      <c r="U145" s="104">
        <v>4</v>
      </c>
      <c r="V145" s="103" t="s">
        <v>160</v>
      </c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</row>
    <row r="146" spans="1:57" x14ac:dyDescent="0.25">
      <c r="A146" s="10" t="s">
        <v>8</v>
      </c>
      <c r="B146" s="155">
        <v>2135</v>
      </c>
      <c r="C146" s="10" t="s">
        <v>1260</v>
      </c>
      <c r="D146" s="10" t="s">
        <v>1220</v>
      </c>
      <c r="E146" s="195">
        <v>59.13</v>
      </c>
      <c r="F146" s="195">
        <v>18.399999999999999</v>
      </c>
      <c r="G146" s="30"/>
      <c r="H146" s="10" t="s">
        <v>150</v>
      </c>
      <c r="I146" s="10" t="s">
        <v>8</v>
      </c>
      <c r="J146" s="24" t="s">
        <v>8</v>
      </c>
      <c r="K146" s="10" t="s">
        <v>6</v>
      </c>
      <c r="L146" s="24" t="s">
        <v>2030</v>
      </c>
      <c r="M146" s="24" t="s">
        <v>717</v>
      </c>
      <c r="N146" s="22" t="s">
        <v>1295</v>
      </c>
      <c r="O146" s="22"/>
      <c r="P146" s="22"/>
      <c r="Q146" s="20" t="s">
        <v>1635</v>
      </c>
      <c r="R146" s="20"/>
      <c r="S146" s="20"/>
      <c r="T146" s="20"/>
      <c r="U146" s="22">
        <v>4</v>
      </c>
      <c r="V146" s="20" t="s">
        <v>160</v>
      </c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</row>
    <row r="147" spans="1:57" x14ac:dyDescent="0.25">
      <c r="A147" s="9" t="s">
        <v>707</v>
      </c>
      <c r="B147" s="137" t="s">
        <v>219</v>
      </c>
      <c r="C147" s="39" t="s">
        <v>782</v>
      </c>
      <c r="D147" s="40" t="s">
        <v>220</v>
      </c>
      <c r="E147" s="46" t="s">
        <v>2085</v>
      </c>
      <c r="F147" s="46" t="s">
        <v>2086</v>
      </c>
      <c r="G147" s="40"/>
      <c r="H147" s="9" t="s">
        <v>148</v>
      </c>
      <c r="I147" s="41" t="s">
        <v>169</v>
      </c>
      <c r="J147" s="41" t="s">
        <v>169</v>
      </c>
      <c r="K147" s="40" t="s">
        <v>40</v>
      </c>
      <c r="L147" s="41" t="s">
        <v>2054</v>
      </c>
      <c r="M147" s="7" t="s">
        <v>2653</v>
      </c>
      <c r="V147" s="42" t="s">
        <v>160</v>
      </c>
      <c r="W147" s="42" t="s">
        <v>160</v>
      </c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 t="s">
        <v>160</v>
      </c>
      <c r="AS147" s="42" t="s">
        <v>160</v>
      </c>
      <c r="AZ147" s="42"/>
      <c r="BA147" s="42"/>
      <c r="BB147" s="42"/>
      <c r="BC147" s="42"/>
      <c r="BD147" s="42"/>
      <c r="BE147" s="42"/>
    </row>
    <row r="148" spans="1:57" s="105" customFormat="1" x14ac:dyDescent="0.25">
      <c r="A148" s="114" t="s">
        <v>2773</v>
      </c>
      <c r="B148" s="139" t="s">
        <v>2780</v>
      </c>
      <c r="C148" s="110" t="s">
        <v>782</v>
      </c>
      <c r="D148" s="153" t="s">
        <v>19</v>
      </c>
      <c r="E148" s="192">
        <f>58+22/60+48/3600</f>
        <v>58.38</v>
      </c>
      <c r="F148" s="192">
        <f>12+18/60+36/3600</f>
        <v>12.31</v>
      </c>
      <c r="G148" s="93"/>
      <c r="H148" s="94" t="s">
        <v>148</v>
      </c>
      <c r="I148" s="102" t="s">
        <v>169</v>
      </c>
      <c r="J148" s="102" t="s">
        <v>169</v>
      </c>
      <c r="K148" s="102" t="s">
        <v>40</v>
      </c>
      <c r="L148" s="102" t="s">
        <v>2054</v>
      </c>
      <c r="M148" s="105" t="s">
        <v>2653</v>
      </c>
      <c r="N148" s="108"/>
      <c r="O148" s="108"/>
      <c r="P148" s="108"/>
      <c r="Q148" s="108"/>
      <c r="R148" s="108"/>
      <c r="S148" s="108"/>
      <c r="T148" s="108"/>
      <c r="U148" s="108"/>
      <c r="V148" s="108" t="s">
        <v>160</v>
      </c>
      <c r="W148" s="108" t="s">
        <v>160</v>
      </c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 t="s">
        <v>160</v>
      </c>
      <c r="AS148" s="108" t="s">
        <v>160</v>
      </c>
      <c r="AT148" s="108"/>
      <c r="AU148" s="108"/>
      <c r="AV148" s="108"/>
      <c r="AW148" s="108"/>
      <c r="AX148" s="108"/>
      <c r="AY148" s="108"/>
      <c r="AZ148" s="108"/>
      <c r="BA148" s="108"/>
      <c r="BB148" s="108"/>
      <c r="BC148" s="108"/>
      <c r="BD148" s="108"/>
      <c r="BE148" s="108"/>
    </row>
    <row r="149" spans="1:57" s="7" customFormat="1" x14ac:dyDescent="0.25">
      <c r="A149" s="6" t="s">
        <v>8</v>
      </c>
      <c r="B149" s="142" t="s">
        <v>2865</v>
      </c>
      <c r="C149" s="23" t="s">
        <v>782</v>
      </c>
      <c r="D149" s="24" t="s">
        <v>782</v>
      </c>
      <c r="E149" s="196">
        <f>58+22/60+48/3600</f>
        <v>58.38</v>
      </c>
      <c r="F149" s="196">
        <f>12+18/60+36/3600</f>
        <v>12.31</v>
      </c>
      <c r="G149" s="5"/>
      <c r="H149" s="9" t="s">
        <v>148</v>
      </c>
      <c r="I149" s="24" t="s">
        <v>169</v>
      </c>
      <c r="J149" s="24" t="s">
        <v>169</v>
      </c>
      <c r="K149" s="24" t="s">
        <v>40</v>
      </c>
      <c r="L149" s="24" t="s">
        <v>2054</v>
      </c>
      <c r="M149" s="7" t="s">
        <v>2653</v>
      </c>
      <c r="N149" s="19"/>
      <c r="O149" s="19"/>
      <c r="P149" s="19"/>
      <c r="Q149" s="19"/>
      <c r="R149" s="19"/>
      <c r="S149" s="19"/>
      <c r="T149" s="19"/>
      <c r="U149" s="19"/>
      <c r="V149" s="19" t="s">
        <v>160</v>
      </c>
      <c r="W149" s="19" t="s">
        <v>160</v>
      </c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 t="s">
        <v>160</v>
      </c>
      <c r="AS149" s="19" t="s">
        <v>160</v>
      </c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</row>
    <row r="150" spans="1:57" x14ac:dyDescent="0.25">
      <c r="A150" s="9" t="s">
        <v>706</v>
      </c>
      <c r="B150" s="140">
        <v>5</v>
      </c>
      <c r="C150" s="23" t="s">
        <v>782</v>
      </c>
      <c r="D150" s="62" t="s">
        <v>19</v>
      </c>
      <c r="E150" s="35">
        <f>58+22/60+57/3600</f>
        <v>58.3825</v>
      </c>
      <c r="F150" s="35">
        <f>12+18/60+39/3600</f>
        <v>12.310833333333335</v>
      </c>
      <c r="G150" s="5"/>
      <c r="H150" s="9" t="s">
        <v>148</v>
      </c>
      <c r="I150" s="7" t="s">
        <v>169</v>
      </c>
      <c r="J150" s="7" t="s">
        <v>169</v>
      </c>
      <c r="K150" s="9" t="s">
        <v>40</v>
      </c>
      <c r="L150" s="7" t="s">
        <v>2054</v>
      </c>
      <c r="M150" s="7" t="s">
        <v>2653</v>
      </c>
      <c r="V150" s="19" t="s">
        <v>160</v>
      </c>
      <c r="W150" s="19" t="s">
        <v>160</v>
      </c>
      <c r="AR150" s="19" t="s">
        <v>160</v>
      </c>
      <c r="AS150" s="19" t="s">
        <v>160</v>
      </c>
      <c r="BB150" s="19"/>
      <c r="BC150" s="19"/>
      <c r="BD150" s="19"/>
      <c r="BE150" s="19"/>
    </row>
    <row r="151" spans="1:57" x14ac:dyDescent="0.25">
      <c r="A151" s="9" t="s">
        <v>8</v>
      </c>
      <c r="B151" s="38">
        <v>33050</v>
      </c>
      <c r="C151" s="23" t="s">
        <v>984</v>
      </c>
      <c r="D151" s="23" t="s">
        <v>985</v>
      </c>
      <c r="E151" s="3">
        <f>58+53/60+38.4/3600</f>
        <v>58.893999999999998</v>
      </c>
      <c r="F151" s="3">
        <f>12+55/60+8.4/3600</f>
        <v>12.918999999999999</v>
      </c>
      <c r="H151" s="9" t="s">
        <v>148</v>
      </c>
      <c r="I151" s="9" t="s">
        <v>986</v>
      </c>
      <c r="J151" s="21" t="s">
        <v>8</v>
      </c>
      <c r="K151" s="9" t="s">
        <v>2455</v>
      </c>
      <c r="L151" s="7" t="s">
        <v>2027</v>
      </c>
      <c r="M151" s="7" t="s">
        <v>717</v>
      </c>
      <c r="N151" s="19" t="s">
        <v>2586</v>
      </c>
      <c r="S151" s="19" t="s">
        <v>160</v>
      </c>
      <c r="T151" s="19" t="s">
        <v>160</v>
      </c>
      <c r="X151" s="19" t="s">
        <v>160</v>
      </c>
      <c r="BB151" s="19"/>
      <c r="BC151" s="19"/>
      <c r="BD151" s="19"/>
      <c r="BE151" s="19"/>
    </row>
    <row r="152" spans="1:57" x14ac:dyDescent="0.25">
      <c r="A152" s="6" t="s">
        <v>8</v>
      </c>
      <c r="B152" s="9">
        <v>81320</v>
      </c>
      <c r="C152" s="9" t="s">
        <v>2395</v>
      </c>
      <c r="D152" s="9" t="s">
        <v>1375</v>
      </c>
      <c r="E152" s="3">
        <v>58.5289</v>
      </c>
      <c r="F152" s="3">
        <v>11.5724</v>
      </c>
      <c r="G152" s="9">
        <v>20</v>
      </c>
      <c r="H152" s="3" t="s">
        <v>150</v>
      </c>
      <c r="I152" s="6" t="s">
        <v>8</v>
      </c>
      <c r="J152" s="21" t="s">
        <v>8</v>
      </c>
      <c r="K152" s="3" t="s">
        <v>5</v>
      </c>
      <c r="L152" s="5" t="s">
        <v>2028</v>
      </c>
      <c r="M152" s="5" t="s">
        <v>717</v>
      </c>
      <c r="N152" s="19" t="s">
        <v>2561</v>
      </c>
      <c r="P152" s="19" t="s">
        <v>160</v>
      </c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19" t="s">
        <v>160</v>
      </c>
      <c r="BB152" s="19"/>
      <c r="BC152" s="19"/>
      <c r="BD152" s="19"/>
      <c r="BE152" s="19"/>
    </row>
    <row r="153" spans="1:57" s="94" customFormat="1" x14ac:dyDescent="0.25">
      <c r="A153" s="98" t="s">
        <v>2773</v>
      </c>
      <c r="B153" s="135">
        <v>2526</v>
      </c>
      <c r="C153" s="98" t="s">
        <v>1214</v>
      </c>
      <c r="D153" s="98" t="s">
        <v>1214</v>
      </c>
      <c r="E153" s="190">
        <f>60+22/60+12/3600</f>
        <v>60.37</v>
      </c>
      <c r="F153" s="189">
        <f>18+24/60</f>
        <v>18.399999999999999</v>
      </c>
      <c r="G153" s="101"/>
      <c r="H153" s="98" t="s">
        <v>150</v>
      </c>
      <c r="I153" s="98" t="s">
        <v>8</v>
      </c>
      <c r="J153" s="102" t="s">
        <v>8</v>
      </c>
      <c r="K153" s="98" t="s">
        <v>6</v>
      </c>
      <c r="L153" s="102" t="s">
        <v>2030</v>
      </c>
      <c r="M153" s="102" t="s">
        <v>717</v>
      </c>
      <c r="N153" s="104" t="s">
        <v>1281</v>
      </c>
      <c r="O153" s="104"/>
      <c r="P153" s="104"/>
      <c r="Q153" s="103" t="s">
        <v>1658</v>
      </c>
      <c r="R153" s="103"/>
      <c r="S153" s="103"/>
      <c r="T153" s="103"/>
      <c r="U153" s="104">
        <v>4</v>
      </c>
      <c r="V153" s="103" t="s">
        <v>160</v>
      </c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  <c r="BD153" s="103"/>
      <c r="BE153" s="103"/>
    </row>
    <row r="154" spans="1:57" x14ac:dyDescent="0.25">
      <c r="A154" s="10" t="s">
        <v>8</v>
      </c>
      <c r="B154" s="155">
        <v>2526</v>
      </c>
      <c r="C154" s="10" t="s">
        <v>1214</v>
      </c>
      <c r="D154" s="10" t="s">
        <v>1214</v>
      </c>
      <c r="E154" s="195">
        <v>60.37</v>
      </c>
      <c r="F154" s="195">
        <v>18.399999999999999</v>
      </c>
      <c r="G154" s="30"/>
      <c r="H154" s="10" t="s">
        <v>150</v>
      </c>
      <c r="I154" s="10" t="s">
        <v>8</v>
      </c>
      <c r="J154" s="24" t="s">
        <v>8</v>
      </c>
      <c r="K154" s="10" t="s">
        <v>6</v>
      </c>
      <c r="L154" s="24" t="s">
        <v>2030</v>
      </c>
      <c r="M154" s="24" t="s">
        <v>717</v>
      </c>
      <c r="N154" s="22" t="s">
        <v>1281</v>
      </c>
      <c r="O154" s="22"/>
      <c r="P154" s="22"/>
      <c r="Q154" s="20" t="s">
        <v>1658</v>
      </c>
      <c r="R154" s="20"/>
      <c r="S154" s="20"/>
      <c r="T154" s="20"/>
      <c r="U154" s="22">
        <v>4</v>
      </c>
      <c r="V154" s="20" t="s">
        <v>160</v>
      </c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</row>
    <row r="155" spans="1:57" s="94" customFormat="1" x14ac:dyDescent="0.25">
      <c r="A155" s="94" t="s">
        <v>2773</v>
      </c>
      <c r="B155" s="136">
        <v>2062</v>
      </c>
      <c r="C155" s="110" t="s">
        <v>964</v>
      </c>
      <c r="D155" s="184" t="s">
        <v>963</v>
      </c>
      <c r="E155" s="82">
        <f>62+20/60+23.424/3600</f>
        <v>62.339840000000002</v>
      </c>
      <c r="F155" s="82">
        <f>17+26/60+22.092/3600</f>
        <v>17.43947</v>
      </c>
      <c r="G155" s="82"/>
      <c r="H155" s="94" t="s">
        <v>150</v>
      </c>
      <c r="I155" s="94" t="s">
        <v>8</v>
      </c>
      <c r="J155" s="105" t="s">
        <v>8</v>
      </c>
      <c r="K155" s="94" t="s">
        <v>6</v>
      </c>
      <c r="L155" s="105" t="s">
        <v>2030</v>
      </c>
      <c r="M155" s="105" t="s">
        <v>717</v>
      </c>
      <c r="N155" s="108" t="s">
        <v>1120</v>
      </c>
      <c r="O155" s="108"/>
      <c r="P155" s="108" t="s">
        <v>160</v>
      </c>
      <c r="Q155" s="107" t="s">
        <v>1154</v>
      </c>
      <c r="R155" s="107" t="s">
        <v>1588</v>
      </c>
      <c r="S155" s="108" t="s">
        <v>160</v>
      </c>
      <c r="T155" s="108" t="s">
        <v>160</v>
      </c>
      <c r="U155" s="108">
        <v>4</v>
      </c>
      <c r="V155" s="108" t="s">
        <v>160</v>
      </c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  <c r="BA155" s="108"/>
      <c r="BB155" s="108"/>
      <c r="BC155" s="108"/>
      <c r="BD155" s="108"/>
      <c r="BE155" s="108"/>
    </row>
    <row r="156" spans="1:57" x14ac:dyDescent="0.25">
      <c r="A156" s="9" t="s">
        <v>8</v>
      </c>
      <c r="B156" s="140">
        <v>2062</v>
      </c>
      <c r="C156" s="23" t="s">
        <v>964</v>
      </c>
      <c r="D156" t="s">
        <v>963</v>
      </c>
      <c r="E156" s="193">
        <v>62.339799999999997</v>
      </c>
      <c r="F156" s="193">
        <v>17.4391</v>
      </c>
      <c r="H156" s="9" t="s">
        <v>150</v>
      </c>
      <c r="I156" s="9" t="s">
        <v>8</v>
      </c>
      <c r="J156" s="7" t="s">
        <v>8</v>
      </c>
      <c r="K156" s="9" t="s">
        <v>6</v>
      </c>
      <c r="L156" s="7" t="s">
        <v>2030</v>
      </c>
      <c r="M156" s="7" t="s">
        <v>717</v>
      </c>
      <c r="N156" s="19" t="s">
        <v>1120</v>
      </c>
      <c r="P156" s="19" t="s">
        <v>160</v>
      </c>
      <c r="Q156" s="44" t="s">
        <v>1154</v>
      </c>
      <c r="R156" s="44" t="s">
        <v>1588</v>
      </c>
      <c r="S156" s="19" t="s">
        <v>160</v>
      </c>
      <c r="T156" s="19" t="s">
        <v>160</v>
      </c>
      <c r="U156" s="19">
        <v>4</v>
      </c>
      <c r="V156" s="19" t="s">
        <v>160</v>
      </c>
      <c r="BB156" s="19"/>
      <c r="BC156" s="19"/>
      <c r="BD156" s="19"/>
      <c r="BE156" s="19"/>
    </row>
    <row r="157" spans="1:57" x14ac:dyDescent="0.25">
      <c r="A157" s="9" t="s">
        <v>8</v>
      </c>
      <c r="B157" s="26">
        <v>35022</v>
      </c>
      <c r="C157" s="24" t="s">
        <v>1066</v>
      </c>
      <c r="D157" t="s">
        <v>1067</v>
      </c>
      <c r="E157" s="25">
        <f>58+58/60</f>
        <v>58.966666666666669</v>
      </c>
      <c r="F157" s="25">
        <f>11+7/60</f>
        <v>11.116666666666667</v>
      </c>
      <c r="G157" s="9"/>
      <c r="H157" s="9" t="s">
        <v>150</v>
      </c>
      <c r="I157" s="9" t="s">
        <v>8</v>
      </c>
      <c r="J157" s="7" t="s">
        <v>8</v>
      </c>
      <c r="K157" s="10" t="s">
        <v>951</v>
      </c>
      <c r="L157" s="7" t="s">
        <v>2684</v>
      </c>
      <c r="M157" s="7" t="s">
        <v>717</v>
      </c>
      <c r="N157" s="42" t="s">
        <v>1332</v>
      </c>
      <c r="O157" s="42"/>
      <c r="P157" s="42"/>
      <c r="S157" s="19" t="s">
        <v>160</v>
      </c>
      <c r="T157" s="19" t="s">
        <v>160</v>
      </c>
      <c r="U157" s="42"/>
      <c r="X157" s="19" t="s">
        <v>160</v>
      </c>
      <c r="Z157" s="19" t="s">
        <v>160</v>
      </c>
      <c r="AL157" s="19" t="s">
        <v>160</v>
      </c>
      <c r="AR157" s="19" t="s">
        <v>160</v>
      </c>
      <c r="AT157" s="19" t="s">
        <v>160</v>
      </c>
      <c r="AV157" s="19" t="s">
        <v>160</v>
      </c>
      <c r="BB157" s="19"/>
      <c r="BC157" s="19"/>
      <c r="BD157" s="19"/>
      <c r="BE157" s="19"/>
    </row>
    <row r="158" spans="1:57" x14ac:dyDescent="0.25">
      <c r="A158" s="9" t="s">
        <v>8</v>
      </c>
      <c r="B158" s="27">
        <v>37230</v>
      </c>
      <c r="C158" s="28" t="s">
        <v>1893</v>
      </c>
      <c r="D158" s="28" t="s">
        <v>1739</v>
      </c>
      <c r="E158" s="25">
        <v>59.433300000000003</v>
      </c>
      <c r="F158" s="25">
        <v>18.366700000000002</v>
      </c>
      <c r="H158" s="9" t="s">
        <v>150</v>
      </c>
      <c r="I158" s="9" t="s">
        <v>8</v>
      </c>
      <c r="J158" s="7" t="s">
        <v>8</v>
      </c>
      <c r="K158" s="6" t="s">
        <v>2455</v>
      </c>
      <c r="L158" s="7" t="s">
        <v>2027</v>
      </c>
      <c r="M158" s="28" t="s">
        <v>717</v>
      </c>
      <c r="N158" s="19" t="s">
        <v>1845</v>
      </c>
      <c r="X158" s="19" t="s">
        <v>160</v>
      </c>
      <c r="BA158" s="7"/>
      <c r="BB158" s="7"/>
      <c r="BC158" s="7"/>
      <c r="BD158" s="7"/>
      <c r="BE158" s="7"/>
    </row>
    <row r="159" spans="1:57" x14ac:dyDescent="0.25">
      <c r="A159" s="9" t="s">
        <v>8</v>
      </c>
      <c r="B159" s="27">
        <v>37231</v>
      </c>
      <c r="C159" s="28" t="s">
        <v>1894</v>
      </c>
      <c r="D159" s="28" t="s">
        <v>1740</v>
      </c>
      <c r="E159" s="25">
        <v>59.25</v>
      </c>
      <c r="F159" s="25">
        <v>19.0167</v>
      </c>
      <c r="H159" s="9" t="s">
        <v>150</v>
      </c>
      <c r="I159" s="9" t="s">
        <v>8</v>
      </c>
      <c r="J159" s="7" t="s">
        <v>8</v>
      </c>
      <c r="K159" s="6" t="s">
        <v>2455</v>
      </c>
      <c r="L159" s="7" t="s">
        <v>2027</v>
      </c>
      <c r="M159" s="28" t="s">
        <v>717</v>
      </c>
      <c r="N159" s="19" t="s">
        <v>1846</v>
      </c>
      <c r="X159" s="19" t="s">
        <v>160</v>
      </c>
      <c r="BA159" s="7"/>
      <c r="BB159" s="7"/>
      <c r="BC159" s="7"/>
      <c r="BD159" s="7"/>
      <c r="BE159" s="7"/>
    </row>
    <row r="160" spans="1:57" x14ac:dyDescent="0.25">
      <c r="A160" s="9" t="s">
        <v>8</v>
      </c>
      <c r="B160" s="27">
        <v>37232</v>
      </c>
      <c r="C160" s="28" t="s">
        <v>1904</v>
      </c>
      <c r="D160" s="28" t="s">
        <v>1741</v>
      </c>
      <c r="E160" s="25">
        <v>59.35</v>
      </c>
      <c r="F160" s="25">
        <v>20.100000000000001</v>
      </c>
      <c r="H160" s="9" t="s">
        <v>150</v>
      </c>
      <c r="I160" s="9" t="s">
        <v>8</v>
      </c>
      <c r="J160" s="7" t="s">
        <v>8</v>
      </c>
      <c r="K160" s="6" t="s">
        <v>2455</v>
      </c>
      <c r="L160" s="7" t="s">
        <v>2027</v>
      </c>
      <c r="M160" s="28" t="s">
        <v>717</v>
      </c>
      <c r="N160" s="19" t="s">
        <v>1846</v>
      </c>
      <c r="X160" s="19" t="s">
        <v>160</v>
      </c>
      <c r="BA160" s="7"/>
      <c r="BB160" s="7"/>
      <c r="BC160" s="7"/>
      <c r="BD160" s="7"/>
      <c r="BE160" s="7"/>
    </row>
    <row r="161" spans="1:57" x14ac:dyDescent="0.25">
      <c r="A161" s="9" t="s">
        <v>707</v>
      </c>
      <c r="B161" s="39" t="s">
        <v>221</v>
      </c>
      <c r="C161" s="24" t="s">
        <v>841</v>
      </c>
      <c r="D161" s="40" t="s">
        <v>222</v>
      </c>
      <c r="E161" s="46" t="s">
        <v>2087</v>
      </c>
      <c r="F161" s="46" t="s">
        <v>2088</v>
      </c>
      <c r="G161" s="40"/>
      <c r="H161" s="9" t="s">
        <v>150</v>
      </c>
      <c r="I161" s="41" t="s">
        <v>169</v>
      </c>
      <c r="J161" s="41" t="s">
        <v>169</v>
      </c>
      <c r="K161" s="40" t="s">
        <v>5</v>
      </c>
      <c r="L161" s="41" t="s">
        <v>2041</v>
      </c>
      <c r="M161" s="7" t="s">
        <v>2653</v>
      </c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Z161" s="42" t="s">
        <v>160</v>
      </c>
      <c r="BA161" s="42" t="s">
        <v>160</v>
      </c>
      <c r="BB161" s="42"/>
      <c r="BC161" s="42"/>
      <c r="BD161" s="42"/>
      <c r="BE161" s="42"/>
    </row>
    <row r="162" spans="1:57" x14ac:dyDescent="0.25">
      <c r="A162" s="9" t="s">
        <v>707</v>
      </c>
      <c r="B162" s="137" t="s">
        <v>223</v>
      </c>
      <c r="C162" s="24" t="s">
        <v>841</v>
      </c>
      <c r="D162" s="40" t="s">
        <v>224</v>
      </c>
      <c r="E162" s="46" t="s">
        <v>2087</v>
      </c>
      <c r="F162" s="46" t="s">
        <v>2088</v>
      </c>
      <c r="G162" s="40"/>
      <c r="H162" s="9" t="s">
        <v>150</v>
      </c>
      <c r="I162" s="41" t="s">
        <v>169</v>
      </c>
      <c r="J162" s="41" t="s">
        <v>169</v>
      </c>
      <c r="K162" s="40" t="s">
        <v>6</v>
      </c>
      <c r="L162" s="41" t="s">
        <v>2031</v>
      </c>
      <c r="M162" s="7" t="s">
        <v>2653</v>
      </c>
      <c r="N162" s="42" t="s">
        <v>1121</v>
      </c>
      <c r="O162" s="42" t="s">
        <v>160</v>
      </c>
      <c r="P162" s="42" t="s">
        <v>160</v>
      </c>
      <c r="Q162" s="44" t="s">
        <v>1155</v>
      </c>
      <c r="S162" s="19" t="s">
        <v>160</v>
      </c>
      <c r="T162" s="19" t="s">
        <v>160</v>
      </c>
      <c r="U162" s="19">
        <v>2</v>
      </c>
      <c r="V162" s="42" t="s">
        <v>160</v>
      </c>
      <c r="W162" s="42" t="s">
        <v>160</v>
      </c>
      <c r="X162" s="42" t="s">
        <v>160</v>
      </c>
      <c r="Y162" s="42" t="s">
        <v>160</v>
      </c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Z162" s="42"/>
      <c r="BA162" s="42"/>
      <c r="BB162" s="42"/>
      <c r="BC162" s="42"/>
      <c r="BD162" s="42"/>
      <c r="BE162" s="42"/>
    </row>
    <row r="163" spans="1:57" x14ac:dyDescent="0.25">
      <c r="A163" s="53" t="s">
        <v>2763</v>
      </c>
      <c r="B163" s="138">
        <v>35185</v>
      </c>
      <c r="C163" s="53" t="s">
        <v>841</v>
      </c>
      <c r="D163" s="7" t="s">
        <v>2745</v>
      </c>
      <c r="E163" s="30">
        <f>59+11/60+4.963/3600</f>
        <v>59.184711944444444</v>
      </c>
      <c r="F163" s="3">
        <f>17+38/60+34.552/3600</f>
        <v>17.64293111111111</v>
      </c>
      <c r="G163" s="53">
        <v>2.1</v>
      </c>
      <c r="H163" s="9" t="s">
        <v>150</v>
      </c>
      <c r="I163" s="7" t="s">
        <v>169</v>
      </c>
      <c r="J163" s="53" t="s">
        <v>169</v>
      </c>
      <c r="K163" s="7" t="s">
        <v>6</v>
      </c>
      <c r="L163" s="7" t="s">
        <v>2031</v>
      </c>
      <c r="M163" s="7" t="s">
        <v>2653</v>
      </c>
      <c r="N163" s="42" t="s">
        <v>1121</v>
      </c>
      <c r="O163" s="42" t="s">
        <v>160</v>
      </c>
      <c r="P163" s="42" t="s">
        <v>160</v>
      </c>
      <c r="Q163" s="44" t="s">
        <v>1155</v>
      </c>
      <c r="S163" s="19" t="s">
        <v>160</v>
      </c>
      <c r="T163" s="19" t="s">
        <v>160</v>
      </c>
      <c r="U163" s="42">
        <v>2</v>
      </c>
      <c r="V163" s="20" t="s">
        <v>160</v>
      </c>
      <c r="W163" s="20" t="s">
        <v>160</v>
      </c>
      <c r="X163" s="20" t="s">
        <v>160</v>
      </c>
      <c r="Y163" s="20" t="s">
        <v>160</v>
      </c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20"/>
      <c r="BA163" s="20"/>
      <c r="BB163" s="53"/>
      <c r="BC163" s="53"/>
      <c r="BD163" s="53"/>
      <c r="BE163" s="53"/>
    </row>
    <row r="164" spans="1:57" s="94" customFormat="1" x14ac:dyDescent="0.25">
      <c r="A164" s="105" t="s">
        <v>2773</v>
      </c>
      <c r="B164" s="139" t="s">
        <v>2778</v>
      </c>
      <c r="C164" s="102" t="s">
        <v>841</v>
      </c>
      <c r="D164" s="153" t="s">
        <v>20</v>
      </c>
      <c r="E164" s="101">
        <f>59+11/60+4.956/3600</f>
        <v>59.184709999999995</v>
      </c>
      <c r="F164" s="82">
        <f>17+38/60+34.548/3600</f>
        <v>17.64293</v>
      </c>
      <c r="G164" s="179">
        <v>2.1</v>
      </c>
      <c r="H164" s="105" t="s">
        <v>150</v>
      </c>
      <c r="I164" s="105" t="s">
        <v>169</v>
      </c>
      <c r="J164" s="105" t="s">
        <v>169</v>
      </c>
      <c r="K164" s="105" t="s">
        <v>40</v>
      </c>
      <c r="L164" s="105" t="s">
        <v>2052</v>
      </c>
      <c r="M164" s="105" t="s">
        <v>2653</v>
      </c>
      <c r="N164" s="106" t="s">
        <v>1121</v>
      </c>
      <c r="O164" s="106" t="s">
        <v>160</v>
      </c>
      <c r="P164" s="106" t="s">
        <v>160</v>
      </c>
      <c r="Q164" s="107" t="s">
        <v>1155</v>
      </c>
      <c r="R164" s="108"/>
      <c r="S164" s="108" t="s">
        <v>160</v>
      </c>
      <c r="T164" s="108" t="s">
        <v>160</v>
      </c>
      <c r="U164" s="106">
        <v>2</v>
      </c>
      <c r="V164" s="103" t="s">
        <v>160</v>
      </c>
      <c r="W164" s="103" t="s">
        <v>160</v>
      </c>
      <c r="X164" s="103" t="s">
        <v>160</v>
      </c>
      <c r="Y164" s="103" t="s">
        <v>160</v>
      </c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 t="s">
        <v>160</v>
      </c>
      <c r="BA164" s="103" t="s">
        <v>160</v>
      </c>
      <c r="BB164" s="103"/>
      <c r="BC164" s="103"/>
      <c r="BD164" s="103"/>
      <c r="BE164" s="103"/>
    </row>
    <row r="165" spans="1:57" x14ac:dyDescent="0.25">
      <c r="A165" s="7" t="s">
        <v>8</v>
      </c>
      <c r="B165" s="142" t="s">
        <v>2866</v>
      </c>
      <c r="C165" s="24" t="s">
        <v>841</v>
      </c>
      <c r="D165" s="24" t="s">
        <v>751</v>
      </c>
      <c r="E165" s="193">
        <v>59.184800000000003</v>
      </c>
      <c r="F165" s="193">
        <v>17.642800000000001</v>
      </c>
      <c r="G165" s="43"/>
      <c r="H165" s="7" t="s">
        <v>150</v>
      </c>
      <c r="I165" s="7" t="s">
        <v>169</v>
      </c>
      <c r="J165" s="7" t="s">
        <v>169</v>
      </c>
      <c r="K165" s="7" t="s">
        <v>40</v>
      </c>
      <c r="L165" s="7" t="s">
        <v>2052</v>
      </c>
      <c r="M165" s="7" t="s">
        <v>2653</v>
      </c>
      <c r="N165" s="42" t="s">
        <v>1121</v>
      </c>
      <c r="O165" s="42" t="s">
        <v>160</v>
      </c>
      <c r="P165" s="42" t="s">
        <v>160</v>
      </c>
      <c r="Q165" s="44" t="s">
        <v>1155</v>
      </c>
      <c r="S165" s="19" t="s">
        <v>160</v>
      </c>
      <c r="T165" s="19" t="s">
        <v>160</v>
      </c>
      <c r="U165" s="42">
        <v>2</v>
      </c>
      <c r="V165" s="20" t="s">
        <v>160</v>
      </c>
      <c r="W165" s="20" t="s">
        <v>160</v>
      </c>
      <c r="X165" s="20" t="s">
        <v>160</v>
      </c>
      <c r="Y165" s="20" t="s">
        <v>160</v>
      </c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 t="s">
        <v>160</v>
      </c>
      <c r="BA165" s="20" t="s">
        <v>160</v>
      </c>
      <c r="BB165" s="20"/>
      <c r="BC165" s="20"/>
      <c r="BD165" s="20"/>
      <c r="BE165" s="20"/>
    </row>
    <row r="166" spans="1:57" s="10" customFormat="1" x14ac:dyDescent="0.25">
      <c r="A166" s="9" t="s">
        <v>706</v>
      </c>
      <c r="B166" s="140">
        <v>34</v>
      </c>
      <c r="C166" s="24" t="s">
        <v>841</v>
      </c>
      <c r="D166" s="62" t="s">
        <v>20</v>
      </c>
      <c r="E166" s="5">
        <f>59+11/60+5/3600</f>
        <v>59.18472222222222</v>
      </c>
      <c r="F166" s="35">
        <f>17+38/60+34/3600</f>
        <v>17.642777777777777</v>
      </c>
      <c r="G166" s="43"/>
      <c r="H166" s="9" t="s">
        <v>150</v>
      </c>
      <c r="I166" s="7" t="s">
        <v>169</v>
      </c>
      <c r="J166" s="7" t="s">
        <v>169</v>
      </c>
      <c r="K166" s="9" t="s">
        <v>40</v>
      </c>
      <c r="L166" s="7" t="s">
        <v>2052</v>
      </c>
      <c r="M166" s="7" t="s">
        <v>2653</v>
      </c>
      <c r="N166" s="42" t="s">
        <v>1121</v>
      </c>
      <c r="O166" s="42" t="s">
        <v>160</v>
      </c>
      <c r="P166" s="42" t="s">
        <v>160</v>
      </c>
      <c r="Q166" s="44" t="s">
        <v>1155</v>
      </c>
      <c r="R166" s="19"/>
      <c r="S166" s="19" t="s">
        <v>160</v>
      </c>
      <c r="T166" s="19" t="s">
        <v>160</v>
      </c>
      <c r="U166" s="19">
        <v>2</v>
      </c>
      <c r="V166" s="19" t="s">
        <v>160</v>
      </c>
      <c r="W166" s="19" t="s">
        <v>160</v>
      </c>
      <c r="X166" s="19" t="s">
        <v>160</v>
      </c>
      <c r="Y166" s="19" t="s">
        <v>160</v>
      </c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 t="s">
        <v>160</v>
      </c>
      <c r="BA166" s="19" t="s">
        <v>160</v>
      </c>
      <c r="BB166" s="19"/>
      <c r="BC166" s="19"/>
      <c r="BD166" s="19"/>
      <c r="BE166" s="19"/>
    </row>
    <row r="167" spans="1:57" x14ac:dyDescent="0.25">
      <c r="A167" s="9" t="s">
        <v>8</v>
      </c>
      <c r="B167" s="27">
        <v>37233</v>
      </c>
      <c r="C167" s="28" t="s">
        <v>1899</v>
      </c>
      <c r="D167" s="28" t="s">
        <v>1742</v>
      </c>
      <c r="E167" s="25">
        <v>59.416699999999999</v>
      </c>
      <c r="F167" s="25">
        <v>20.8</v>
      </c>
      <c r="H167" s="9" t="s">
        <v>150</v>
      </c>
      <c r="I167" s="6" t="s">
        <v>8</v>
      </c>
      <c r="J167" s="21" t="s">
        <v>8</v>
      </c>
      <c r="K167" s="6" t="s">
        <v>2455</v>
      </c>
      <c r="L167" s="7" t="s">
        <v>2027</v>
      </c>
      <c r="M167" s="28" t="s">
        <v>717</v>
      </c>
      <c r="N167" s="19" t="s">
        <v>1845</v>
      </c>
      <c r="T167" s="7"/>
      <c r="X167" s="19" t="s">
        <v>160</v>
      </c>
      <c r="BA167" s="7"/>
      <c r="BB167" s="7"/>
      <c r="BC167" s="7"/>
      <c r="BD167" s="7"/>
      <c r="BE167" s="7"/>
    </row>
    <row r="168" spans="1:57" x14ac:dyDescent="0.25">
      <c r="A168" s="9" t="s">
        <v>8</v>
      </c>
      <c r="B168" s="27">
        <v>37234</v>
      </c>
      <c r="C168" s="28" t="s">
        <v>1898</v>
      </c>
      <c r="D168" s="28" t="s">
        <v>1743</v>
      </c>
      <c r="E168" s="25">
        <v>59.4833</v>
      </c>
      <c r="F168" s="25">
        <v>21.4833</v>
      </c>
      <c r="H168" s="9" t="s">
        <v>150</v>
      </c>
      <c r="I168" s="6" t="s">
        <v>8</v>
      </c>
      <c r="J168" s="21" t="s">
        <v>8</v>
      </c>
      <c r="K168" s="6" t="s">
        <v>2455</v>
      </c>
      <c r="L168" s="7" t="s">
        <v>2027</v>
      </c>
      <c r="M168" s="28" t="s">
        <v>717</v>
      </c>
      <c r="N168" s="19" t="s">
        <v>1845</v>
      </c>
      <c r="T168" s="7"/>
      <c r="X168" s="19" t="s">
        <v>160</v>
      </c>
      <c r="BA168" s="7"/>
      <c r="BB168" s="7"/>
      <c r="BC168" s="7"/>
      <c r="BD168" s="7"/>
      <c r="BE168" s="7"/>
    </row>
    <row r="169" spans="1:57" s="10" customFormat="1" x14ac:dyDescent="0.25">
      <c r="A169" s="9" t="s">
        <v>8</v>
      </c>
      <c r="B169" s="27">
        <v>37235</v>
      </c>
      <c r="C169" s="28" t="s">
        <v>1897</v>
      </c>
      <c r="D169" s="28" t="s">
        <v>1744</v>
      </c>
      <c r="E169" s="25">
        <v>59.566699999999997</v>
      </c>
      <c r="F169" s="25">
        <v>22.55</v>
      </c>
      <c r="G169" s="3"/>
      <c r="H169" s="9" t="s">
        <v>150</v>
      </c>
      <c r="I169" s="6" t="s">
        <v>8</v>
      </c>
      <c r="J169" s="21" t="s">
        <v>8</v>
      </c>
      <c r="K169" s="6" t="s">
        <v>2455</v>
      </c>
      <c r="L169" s="7" t="s">
        <v>2027</v>
      </c>
      <c r="M169" s="28" t="s">
        <v>717</v>
      </c>
      <c r="N169" s="19" t="s">
        <v>1845</v>
      </c>
      <c r="O169" s="19"/>
      <c r="P169" s="19"/>
      <c r="Q169" s="19"/>
      <c r="R169" s="19"/>
      <c r="S169" s="19"/>
      <c r="T169" s="7"/>
      <c r="U169" s="19"/>
      <c r="V169" s="19"/>
      <c r="W169" s="19"/>
      <c r="X169" s="19" t="s">
        <v>160</v>
      </c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7"/>
      <c r="BB169" s="7"/>
      <c r="BC169" s="7"/>
      <c r="BD169" s="7"/>
      <c r="BE169" s="7"/>
    </row>
    <row r="170" spans="1:57" s="10" customFormat="1" x14ac:dyDescent="0.25">
      <c r="A170" s="9" t="s">
        <v>8</v>
      </c>
      <c r="B170" s="27">
        <v>37236</v>
      </c>
      <c r="C170" s="28" t="s">
        <v>1896</v>
      </c>
      <c r="D170" s="28" t="s">
        <v>1745</v>
      </c>
      <c r="E170" s="25">
        <v>59.716700000000003</v>
      </c>
      <c r="F170" s="25">
        <v>23.6</v>
      </c>
      <c r="G170" s="3"/>
      <c r="H170" s="9" t="s">
        <v>150</v>
      </c>
      <c r="I170" s="6" t="s">
        <v>8</v>
      </c>
      <c r="J170" s="21" t="s">
        <v>8</v>
      </c>
      <c r="K170" s="6" t="s">
        <v>2455</v>
      </c>
      <c r="L170" s="7" t="s">
        <v>2027</v>
      </c>
      <c r="M170" s="28" t="s">
        <v>717</v>
      </c>
      <c r="N170" s="19" t="s">
        <v>1845</v>
      </c>
      <c r="O170" s="19"/>
      <c r="P170" s="19"/>
      <c r="Q170" s="19"/>
      <c r="R170" s="19"/>
      <c r="S170" s="19"/>
      <c r="T170" s="7"/>
      <c r="U170" s="19"/>
      <c r="V170" s="19"/>
      <c r="W170" s="19"/>
      <c r="X170" s="19" t="s">
        <v>160</v>
      </c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7"/>
      <c r="BB170" s="7"/>
      <c r="BC170" s="7"/>
      <c r="BD170" s="7"/>
      <c r="BE170" s="7"/>
    </row>
    <row r="171" spans="1:57" s="10" customFormat="1" x14ac:dyDescent="0.25">
      <c r="A171" s="9" t="s">
        <v>8</v>
      </c>
      <c r="B171" s="27">
        <v>37237</v>
      </c>
      <c r="C171" s="28" t="s">
        <v>1895</v>
      </c>
      <c r="D171" s="28" t="s">
        <v>1746</v>
      </c>
      <c r="E171" s="25">
        <v>59.95</v>
      </c>
      <c r="F171" s="25">
        <v>24.916699999999999</v>
      </c>
      <c r="G171" s="3"/>
      <c r="H171" s="9" t="s">
        <v>150</v>
      </c>
      <c r="I171" s="6" t="s">
        <v>8</v>
      </c>
      <c r="J171" s="21" t="s">
        <v>8</v>
      </c>
      <c r="K171" s="6" t="s">
        <v>2455</v>
      </c>
      <c r="L171" s="7" t="s">
        <v>2027</v>
      </c>
      <c r="M171" s="28" t="s">
        <v>717</v>
      </c>
      <c r="N171" s="19" t="s">
        <v>1845</v>
      </c>
      <c r="O171" s="19"/>
      <c r="P171" s="19"/>
      <c r="Q171" s="19"/>
      <c r="R171" s="19"/>
      <c r="S171" s="19"/>
      <c r="T171" s="7"/>
      <c r="U171" s="19"/>
      <c r="V171" s="19"/>
      <c r="W171" s="19"/>
      <c r="X171" s="19" t="s">
        <v>160</v>
      </c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7"/>
      <c r="BB171" s="7"/>
      <c r="BC171" s="7"/>
      <c r="BD171" s="7"/>
      <c r="BE171" s="7"/>
    </row>
    <row r="172" spans="1:57" x14ac:dyDescent="0.25">
      <c r="A172" s="9" t="s">
        <v>707</v>
      </c>
      <c r="B172" s="39" t="s">
        <v>225</v>
      </c>
      <c r="C172" s="24" t="s">
        <v>801</v>
      </c>
      <c r="D172" s="40" t="s">
        <v>226</v>
      </c>
      <c r="E172" s="46" t="s">
        <v>2089</v>
      </c>
      <c r="F172" s="46" t="s">
        <v>2090</v>
      </c>
      <c r="G172" s="40"/>
      <c r="H172" s="9" t="s">
        <v>150</v>
      </c>
      <c r="I172" s="41" t="s">
        <v>169</v>
      </c>
      <c r="J172" s="41" t="s">
        <v>169</v>
      </c>
      <c r="K172" s="40" t="s">
        <v>5</v>
      </c>
      <c r="L172" s="41" t="s">
        <v>2043</v>
      </c>
      <c r="M172" s="7" t="s">
        <v>2653</v>
      </c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 t="s">
        <v>160</v>
      </c>
      <c r="AS172" s="42" t="s">
        <v>160</v>
      </c>
      <c r="AZ172" s="42"/>
      <c r="BA172" s="42"/>
      <c r="BB172" s="42"/>
      <c r="BC172" s="42"/>
      <c r="BD172" s="42"/>
      <c r="BE172" s="42"/>
    </row>
    <row r="173" spans="1:57" s="94" customFormat="1" x14ac:dyDescent="0.25">
      <c r="A173" s="114" t="s">
        <v>2773</v>
      </c>
      <c r="B173" s="110" t="s">
        <v>2886</v>
      </c>
      <c r="C173" s="102" t="s">
        <v>801</v>
      </c>
      <c r="D173" s="153" t="s">
        <v>21</v>
      </c>
      <c r="E173" s="93">
        <f>60+43/60+41.4012/3600</f>
        <v>60.728166999999999</v>
      </c>
      <c r="F173" s="93">
        <f>17+33/60+28.1988/3600</f>
        <v>17.557833000000002</v>
      </c>
      <c r="G173" s="93"/>
      <c r="H173" s="94" t="s">
        <v>150</v>
      </c>
      <c r="I173" s="102" t="s">
        <v>169</v>
      </c>
      <c r="J173" s="102" t="s">
        <v>169</v>
      </c>
      <c r="K173" s="102" t="s">
        <v>5</v>
      </c>
      <c r="L173" s="102" t="s">
        <v>2043</v>
      </c>
      <c r="M173" s="105" t="s">
        <v>2653</v>
      </c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 t="s">
        <v>160</v>
      </c>
      <c r="AS173" s="108" t="s">
        <v>160</v>
      </c>
      <c r="AT173" s="108"/>
      <c r="AU173" s="108"/>
      <c r="AV173" s="108"/>
      <c r="AW173" s="108"/>
      <c r="AX173" s="108"/>
      <c r="AY173" s="108"/>
      <c r="AZ173" s="108"/>
      <c r="BA173" s="108"/>
      <c r="BB173" s="108"/>
      <c r="BC173" s="108"/>
      <c r="BD173" s="108"/>
      <c r="BE173" s="108"/>
    </row>
    <row r="174" spans="1:57" x14ac:dyDescent="0.25">
      <c r="A174" s="6" t="s">
        <v>8</v>
      </c>
      <c r="B174" s="23">
        <v>35121</v>
      </c>
      <c r="C174" s="24" t="s">
        <v>801</v>
      </c>
      <c r="D174" s="24" t="s">
        <v>801</v>
      </c>
      <c r="E174" s="5">
        <f>60+43/60+41.4012/3600</f>
        <v>60.728166999999999</v>
      </c>
      <c r="F174" s="5">
        <f>17+33/60+28.1988/3600</f>
        <v>17.557833000000002</v>
      </c>
      <c r="G174" s="5"/>
      <c r="H174" s="9" t="s">
        <v>150</v>
      </c>
      <c r="I174" s="24" t="s">
        <v>169</v>
      </c>
      <c r="J174" s="24" t="s">
        <v>169</v>
      </c>
      <c r="K174" s="24" t="s">
        <v>5</v>
      </c>
      <c r="L174" s="24" t="s">
        <v>2043</v>
      </c>
      <c r="M174" s="7" t="s">
        <v>2653</v>
      </c>
      <c r="AR174" s="19" t="s">
        <v>160</v>
      </c>
      <c r="AS174" s="19" t="s">
        <v>160</v>
      </c>
      <c r="BB174" s="19"/>
      <c r="BC174" s="19"/>
      <c r="BD174" s="19"/>
      <c r="BE174" s="19"/>
    </row>
    <row r="175" spans="1:57" x14ac:dyDescent="0.25">
      <c r="A175" s="9" t="s">
        <v>706</v>
      </c>
      <c r="B175" s="38">
        <v>35</v>
      </c>
      <c r="C175" s="24" t="s">
        <v>801</v>
      </c>
      <c r="D175" s="62" t="s">
        <v>21</v>
      </c>
      <c r="E175" s="3">
        <f>60+43/60+41/3600</f>
        <v>60.728055555555557</v>
      </c>
      <c r="F175" s="3">
        <f>17+33/60+28/3600</f>
        <v>17.55777777777778</v>
      </c>
      <c r="G175" s="5"/>
      <c r="H175" s="9" t="s">
        <v>150</v>
      </c>
      <c r="I175" s="7" t="s">
        <v>169</v>
      </c>
      <c r="J175" s="7" t="s">
        <v>169</v>
      </c>
      <c r="K175" s="9" t="s">
        <v>5</v>
      </c>
      <c r="L175" s="7" t="s">
        <v>2043</v>
      </c>
      <c r="M175" s="7" t="s">
        <v>2653</v>
      </c>
      <c r="AR175" s="19" t="s">
        <v>160</v>
      </c>
      <c r="AS175" s="19" t="s">
        <v>160</v>
      </c>
      <c r="BB175" s="19"/>
      <c r="BC175" s="19"/>
      <c r="BD175" s="19"/>
      <c r="BE175" s="19"/>
    </row>
    <row r="176" spans="1:57" x14ac:dyDescent="0.25">
      <c r="A176" s="9" t="s">
        <v>8</v>
      </c>
      <c r="B176" s="27">
        <v>37131</v>
      </c>
      <c r="C176" s="28" t="s">
        <v>1906</v>
      </c>
      <c r="D176" s="28" t="s">
        <v>801</v>
      </c>
      <c r="E176" s="25">
        <v>60.7333</v>
      </c>
      <c r="F176" s="25">
        <v>17.566700000000001</v>
      </c>
      <c r="H176" s="9" t="s">
        <v>150</v>
      </c>
      <c r="I176" s="6" t="s">
        <v>8</v>
      </c>
      <c r="J176" s="21" t="s">
        <v>8</v>
      </c>
      <c r="K176" s="6" t="s">
        <v>2455</v>
      </c>
      <c r="L176" s="7" t="s">
        <v>2027</v>
      </c>
      <c r="M176" s="28" t="s">
        <v>717</v>
      </c>
      <c r="N176" s="19" t="s">
        <v>1812</v>
      </c>
      <c r="T176" s="7"/>
      <c r="X176" s="19" t="s">
        <v>160</v>
      </c>
      <c r="BA176" s="7"/>
      <c r="BB176" s="7"/>
      <c r="BC176" s="7"/>
      <c r="BD176" s="7"/>
      <c r="BE176" s="7"/>
    </row>
    <row r="177" spans="1:57" x14ac:dyDescent="0.25">
      <c r="A177" s="9" t="s">
        <v>8</v>
      </c>
      <c r="B177" s="53">
        <v>107440</v>
      </c>
      <c r="C177" s="53" t="s">
        <v>2277</v>
      </c>
      <c r="D177" s="53" t="s">
        <v>801</v>
      </c>
      <c r="E177" s="3">
        <v>60.7333</v>
      </c>
      <c r="F177" s="3">
        <v>17.566600000000001</v>
      </c>
      <c r="G177" s="38">
        <v>5</v>
      </c>
      <c r="H177" s="9" t="s">
        <v>150</v>
      </c>
      <c r="I177" s="6" t="s">
        <v>8</v>
      </c>
      <c r="J177" s="21" t="s">
        <v>8</v>
      </c>
      <c r="K177" s="6" t="s">
        <v>5</v>
      </c>
      <c r="L177" s="7" t="s">
        <v>174</v>
      </c>
      <c r="M177" s="28" t="s">
        <v>717</v>
      </c>
      <c r="N177" s="19" t="s">
        <v>2584</v>
      </c>
      <c r="P177" s="19" t="s">
        <v>160</v>
      </c>
      <c r="T177" s="7"/>
      <c r="AV177" s="19" t="s">
        <v>160</v>
      </c>
      <c r="BA177" s="7"/>
      <c r="BB177" s="7"/>
      <c r="BC177" s="7"/>
      <c r="BD177" s="7"/>
      <c r="BE177" s="7"/>
    </row>
    <row r="178" spans="1:57" x14ac:dyDescent="0.25">
      <c r="A178" s="6" t="s">
        <v>8</v>
      </c>
      <c r="B178" s="9">
        <v>107440</v>
      </c>
      <c r="C178" s="9" t="s">
        <v>1376</v>
      </c>
      <c r="D178" t="s">
        <v>1377</v>
      </c>
      <c r="E178" s="3">
        <v>60.729799999999997</v>
      </c>
      <c r="F178" s="3">
        <v>17.558399999999999</v>
      </c>
      <c r="G178" s="9">
        <v>3.7309999999999999</v>
      </c>
      <c r="H178" s="9" t="s">
        <v>150</v>
      </c>
      <c r="I178" s="21" t="s">
        <v>8</v>
      </c>
      <c r="J178" s="21" t="s">
        <v>8</v>
      </c>
      <c r="K178" s="3" t="s">
        <v>5</v>
      </c>
      <c r="L178" s="5" t="s">
        <v>2681</v>
      </c>
      <c r="M178" s="7" t="s">
        <v>2653</v>
      </c>
      <c r="N178" s="19" t="s">
        <v>2385</v>
      </c>
      <c r="P178" s="19" t="s">
        <v>160</v>
      </c>
      <c r="AR178" s="19" t="s">
        <v>160</v>
      </c>
      <c r="AS178" s="19" t="s">
        <v>160</v>
      </c>
      <c r="AT178" s="19" t="s">
        <v>160</v>
      </c>
      <c r="AU178" s="19" t="s">
        <v>160</v>
      </c>
      <c r="AX178" s="19" t="s">
        <v>160</v>
      </c>
      <c r="AY178" s="19" t="s">
        <v>160</v>
      </c>
      <c r="AZ178" s="19" t="s">
        <v>160</v>
      </c>
      <c r="BA178" s="19" t="s">
        <v>160</v>
      </c>
      <c r="BB178" s="19"/>
      <c r="BC178" s="19"/>
      <c r="BD178" s="19"/>
      <c r="BE178" s="19"/>
    </row>
    <row r="179" spans="1:57" x14ac:dyDescent="0.25">
      <c r="A179" s="9" t="s">
        <v>706</v>
      </c>
      <c r="B179" s="33">
        <v>204</v>
      </c>
      <c r="C179" s="9" t="s">
        <v>1376</v>
      </c>
      <c r="D179" s="78" t="s">
        <v>1377</v>
      </c>
      <c r="E179" s="3">
        <f>60+43/60+47/3600</f>
        <v>60.729722222222222</v>
      </c>
      <c r="F179" s="3">
        <f>17+33/60+30/3600</f>
        <v>17.558333333333334</v>
      </c>
      <c r="G179" s="9"/>
      <c r="H179" s="9" t="s">
        <v>150</v>
      </c>
      <c r="I179" s="21" t="s">
        <v>8</v>
      </c>
      <c r="J179" s="21" t="s">
        <v>8</v>
      </c>
      <c r="K179" s="3" t="s">
        <v>5</v>
      </c>
      <c r="L179" s="5" t="s">
        <v>2043</v>
      </c>
      <c r="M179" s="7" t="s">
        <v>2653</v>
      </c>
      <c r="P179" s="19" t="s">
        <v>160</v>
      </c>
      <c r="AR179" s="19" t="s">
        <v>160</v>
      </c>
      <c r="AS179" s="19" t="s">
        <v>160</v>
      </c>
      <c r="BB179" s="19"/>
      <c r="BC179" s="19"/>
      <c r="BD179" s="19"/>
      <c r="BE179" s="19"/>
    </row>
    <row r="180" spans="1:57" x14ac:dyDescent="0.25">
      <c r="A180" s="9" t="s">
        <v>8</v>
      </c>
      <c r="B180" s="27">
        <v>37250</v>
      </c>
      <c r="C180" s="28" t="s">
        <v>1907</v>
      </c>
      <c r="D180" s="28" t="s">
        <v>1755</v>
      </c>
      <c r="E180" s="25">
        <v>57.3</v>
      </c>
      <c r="F180" s="25">
        <v>17.916699999999999</v>
      </c>
      <c r="G180" s="3">
        <f>0.7298*60</f>
        <v>43.787999999999997</v>
      </c>
      <c r="H180" s="9" t="s">
        <v>150</v>
      </c>
      <c r="I180" s="6" t="s">
        <v>8</v>
      </c>
      <c r="J180" s="21" t="s">
        <v>8</v>
      </c>
      <c r="K180" s="6" t="s">
        <v>2455</v>
      </c>
      <c r="L180" s="7" t="s">
        <v>2027</v>
      </c>
      <c r="M180" s="28" t="s">
        <v>717</v>
      </c>
      <c r="P180" s="7"/>
      <c r="T180" s="7"/>
      <c r="X180" s="19" t="s">
        <v>160</v>
      </c>
      <c r="BA180" s="7"/>
      <c r="BB180" s="7"/>
      <c r="BC180" s="7"/>
      <c r="BD180" s="7"/>
      <c r="BE180" s="7"/>
    </row>
    <row r="181" spans="1:57" x14ac:dyDescent="0.25">
      <c r="A181" s="9" t="s">
        <v>8</v>
      </c>
      <c r="B181" s="27">
        <v>37251</v>
      </c>
      <c r="C181" s="28" t="s">
        <v>1908</v>
      </c>
      <c r="D181" s="28" t="s">
        <v>1756</v>
      </c>
      <c r="E181" s="25">
        <v>56.916699999999999</v>
      </c>
      <c r="F181" s="25">
        <v>18.166699999999999</v>
      </c>
      <c r="G181" s="3">
        <f>0.788*60</f>
        <v>47.28</v>
      </c>
      <c r="H181" s="9" t="s">
        <v>150</v>
      </c>
      <c r="I181" s="6" t="s">
        <v>8</v>
      </c>
      <c r="J181" s="21" t="s">
        <v>8</v>
      </c>
      <c r="K181" s="6" t="s">
        <v>2455</v>
      </c>
      <c r="L181" s="7" t="s">
        <v>2027</v>
      </c>
      <c r="M181" s="28" t="s">
        <v>717</v>
      </c>
      <c r="P181" s="7"/>
      <c r="T181" s="7"/>
      <c r="X181" s="19" t="s">
        <v>160</v>
      </c>
      <c r="BA181" s="7"/>
      <c r="BB181" s="7"/>
      <c r="BC181" s="7"/>
      <c r="BD181" s="7"/>
      <c r="BE181" s="7"/>
    </row>
    <row r="182" spans="1:57" x14ac:dyDescent="0.25">
      <c r="A182" s="9" t="s">
        <v>8</v>
      </c>
      <c r="B182" s="27">
        <v>37252</v>
      </c>
      <c r="C182" s="28" t="s">
        <v>1757</v>
      </c>
      <c r="D182" s="28" t="s">
        <v>1757</v>
      </c>
      <c r="E182" s="25">
        <v>56.5</v>
      </c>
      <c r="F182" s="25">
        <v>18.166699999999999</v>
      </c>
      <c r="H182" s="9" t="s">
        <v>150</v>
      </c>
      <c r="I182" s="6" t="s">
        <v>8</v>
      </c>
      <c r="J182" s="21" t="s">
        <v>8</v>
      </c>
      <c r="K182" s="6" t="s">
        <v>2455</v>
      </c>
      <c r="L182" s="7" t="s">
        <v>2027</v>
      </c>
      <c r="M182" s="28" t="s">
        <v>717</v>
      </c>
      <c r="P182" s="7"/>
      <c r="T182" s="7"/>
      <c r="X182" s="19" t="s">
        <v>160</v>
      </c>
      <c r="BA182" s="7"/>
      <c r="BB182" s="7"/>
      <c r="BC182" s="7"/>
      <c r="BD182" s="7"/>
      <c r="BE182" s="7"/>
    </row>
    <row r="183" spans="1:57" x14ac:dyDescent="0.25">
      <c r="A183" s="9" t="s">
        <v>8</v>
      </c>
      <c r="B183" s="27">
        <v>37253</v>
      </c>
      <c r="C183" s="28" t="s">
        <v>1758</v>
      </c>
      <c r="D183" s="28" t="s">
        <v>1758</v>
      </c>
      <c r="E183" s="25">
        <v>56.166699999999999</v>
      </c>
      <c r="F183" s="25">
        <v>18.350000000000001</v>
      </c>
      <c r="H183" s="9" t="s">
        <v>150</v>
      </c>
      <c r="I183" s="6" t="s">
        <v>8</v>
      </c>
      <c r="J183" s="21" t="s">
        <v>8</v>
      </c>
      <c r="K183" s="6" t="s">
        <v>2455</v>
      </c>
      <c r="L183" s="7" t="s">
        <v>2027</v>
      </c>
      <c r="M183" s="28" t="s">
        <v>717</v>
      </c>
      <c r="P183" s="7"/>
      <c r="T183" s="7"/>
      <c r="X183" s="19" t="s">
        <v>160</v>
      </c>
      <c r="BA183" s="7"/>
      <c r="BB183" s="7"/>
      <c r="BC183" s="7"/>
      <c r="BD183" s="7"/>
      <c r="BE183" s="7"/>
    </row>
    <row r="184" spans="1:57" x14ac:dyDescent="0.25">
      <c r="A184" s="9" t="s">
        <v>8</v>
      </c>
      <c r="B184" s="27">
        <v>37254</v>
      </c>
      <c r="C184" s="28" t="s">
        <v>1759</v>
      </c>
      <c r="D184" s="28" t="s">
        <v>1759</v>
      </c>
      <c r="E184" s="25">
        <v>55.666699999999999</v>
      </c>
      <c r="F184" s="25">
        <v>18.533300000000001</v>
      </c>
      <c r="H184" s="9" t="s">
        <v>150</v>
      </c>
      <c r="I184" s="6" t="s">
        <v>8</v>
      </c>
      <c r="J184" s="21" t="s">
        <v>8</v>
      </c>
      <c r="K184" s="6" t="s">
        <v>2455</v>
      </c>
      <c r="L184" s="7" t="s">
        <v>2027</v>
      </c>
      <c r="M184" s="28" t="s">
        <v>717</v>
      </c>
      <c r="P184" s="7"/>
      <c r="T184" s="7"/>
      <c r="X184" s="19" t="s">
        <v>160</v>
      </c>
      <c r="BA184" s="7"/>
      <c r="BB184" s="7"/>
      <c r="BC184" s="7"/>
      <c r="BD184" s="7"/>
      <c r="BE184" s="7"/>
    </row>
    <row r="185" spans="1:57" x14ac:dyDescent="0.25">
      <c r="A185" s="9" t="s">
        <v>8</v>
      </c>
      <c r="B185" s="27">
        <v>37255</v>
      </c>
      <c r="C185" s="28" t="s">
        <v>1760</v>
      </c>
      <c r="D185" s="28" t="s">
        <v>1760</v>
      </c>
      <c r="E185" s="25">
        <v>55.333300000000001</v>
      </c>
      <c r="F185" s="25">
        <v>18.633299999999998</v>
      </c>
      <c r="H185" s="9" t="s">
        <v>150</v>
      </c>
      <c r="I185" s="6" t="s">
        <v>8</v>
      </c>
      <c r="J185" s="21" t="s">
        <v>8</v>
      </c>
      <c r="K185" s="6" t="s">
        <v>2455</v>
      </c>
      <c r="L185" s="7" t="s">
        <v>2027</v>
      </c>
      <c r="M185" s="28" t="s">
        <v>717</v>
      </c>
      <c r="P185" s="7"/>
      <c r="T185" s="7"/>
      <c r="X185" s="19" t="s">
        <v>160</v>
      </c>
      <c r="BA185" s="7"/>
      <c r="BB185" s="7"/>
      <c r="BC185" s="7"/>
      <c r="BD185" s="7"/>
      <c r="BE185" s="7"/>
    </row>
    <row r="186" spans="1:57" x14ac:dyDescent="0.25">
      <c r="A186" s="9" t="s">
        <v>8</v>
      </c>
      <c r="B186" s="27">
        <v>37256</v>
      </c>
      <c r="C186" s="28" t="s">
        <v>1761</v>
      </c>
      <c r="D186" s="28" t="s">
        <v>1761</v>
      </c>
      <c r="E186" s="25">
        <v>55</v>
      </c>
      <c r="F186" s="25">
        <v>18.7333</v>
      </c>
      <c r="H186" s="9" t="s">
        <v>150</v>
      </c>
      <c r="I186" s="6" t="s">
        <v>8</v>
      </c>
      <c r="J186" s="21" t="s">
        <v>8</v>
      </c>
      <c r="K186" s="6" t="s">
        <v>2455</v>
      </c>
      <c r="L186" s="7" t="s">
        <v>2027</v>
      </c>
      <c r="M186" s="28" t="s">
        <v>717</v>
      </c>
      <c r="P186" s="7"/>
      <c r="T186" s="7"/>
      <c r="X186" s="19" t="s">
        <v>160</v>
      </c>
      <c r="BA186" s="7"/>
      <c r="BB186" s="7"/>
      <c r="BC186" s="7"/>
      <c r="BD186" s="7"/>
      <c r="BE186" s="7"/>
    </row>
    <row r="187" spans="1:57" x14ac:dyDescent="0.25">
      <c r="A187" s="9" t="s">
        <v>8</v>
      </c>
      <c r="B187" s="26">
        <v>35055</v>
      </c>
      <c r="C187" s="24" t="s">
        <v>1072</v>
      </c>
      <c r="D187" s="24" t="s">
        <v>1686</v>
      </c>
      <c r="E187" s="25">
        <f>59+20/60</f>
        <v>59.333333333333336</v>
      </c>
      <c r="F187" s="25">
        <f>19+8/60</f>
        <v>19.133333333333333</v>
      </c>
      <c r="G187" s="9"/>
      <c r="H187" s="9" t="s">
        <v>150</v>
      </c>
      <c r="I187" s="9" t="s">
        <v>8</v>
      </c>
      <c r="J187" s="7" t="s">
        <v>8</v>
      </c>
      <c r="K187" s="10" t="s">
        <v>951</v>
      </c>
      <c r="L187" s="7" t="s">
        <v>2044</v>
      </c>
      <c r="M187" s="7" t="s">
        <v>717</v>
      </c>
      <c r="N187" s="42">
        <v>1989</v>
      </c>
      <c r="O187" s="42"/>
      <c r="P187" s="42" t="s">
        <v>160</v>
      </c>
      <c r="S187" s="42" t="s">
        <v>160</v>
      </c>
      <c r="T187" s="19" t="s">
        <v>160</v>
      </c>
      <c r="U187" s="42"/>
      <c r="AN187" s="19" t="s">
        <v>160</v>
      </c>
      <c r="BB187" s="19"/>
      <c r="BC187" s="19"/>
      <c r="BD187" s="19"/>
      <c r="BE187" s="19"/>
    </row>
    <row r="188" spans="1:57" x14ac:dyDescent="0.25">
      <c r="A188" s="9" t="s">
        <v>707</v>
      </c>
      <c r="B188" s="39" t="s">
        <v>231</v>
      </c>
      <c r="C188" s="45" t="s">
        <v>774</v>
      </c>
      <c r="D188" s="40" t="s">
        <v>232</v>
      </c>
      <c r="E188" s="46" t="s">
        <v>234</v>
      </c>
      <c r="F188" s="46" t="s">
        <v>233</v>
      </c>
      <c r="G188" s="40"/>
      <c r="H188" s="9" t="s">
        <v>150</v>
      </c>
      <c r="I188" s="41" t="s">
        <v>235</v>
      </c>
      <c r="J188" s="41" t="s">
        <v>169</v>
      </c>
      <c r="K188" s="40" t="s">
        <v>5</v>
      </c>
      <c r="L188" s="41" t="s">
        <v>2043</v>
      </c>
      <c r="M188" s="7" t="s">
        <v>2653</v>
      </c>
      <c r="N188" s="19" t="s">
        <v>1118</v>
      </c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 t="s">
        <v>160</v>
      </c>
      <c r="AS188" s="42" t="s">
        <v>160</v>
      </c>
      <c r="AZ188" s="42"/>
      <c r="BA188" s="42"/>
      <c r="BB188" s="42"/>
      <c r="BC188" s="42"/>
      <c r="BD188" s="42"/>
      <c r="BE188" s="42"/>
    </row>
    <row r="189" spans="1:57" x14ac:dyDescent="0.25">
      <c r="A189" s="9" t="s">
        <v>707</v>
      </c>
      <c r="B189" s="137" t="s">
        <v>236</v>
      </c>
      <c r="C189" s="23" t="s">
        <v>774</v>
      </c>
      <c r="D189" s="40" t="s">
        <v>237</v>
      </c>
      <c r="E189" s="46" t="s">
        <v>239</v>
      </c>
      <c r="F189" s="46" t="s">
        <v>238</v>
      </c>
      <c r="G189" s="40"/>
      <c r="H189" s="9" t="s">
        <v>150</v>
      </c>
      <c r="I189" s="41" t="s">
        <v>169</v>
      </c>
      <c r="J189" s="41" t="s">
        <v>169</v>
      </c>
      <c r="K189" s="40" t="s">
        <v>6</v>
      </c>
      <c r="L189" s="41" t="s">
        <v>2031</v>
      </c>
      <c r="M189" s="7" t="s">
        <v>2653</v>
      </c>
      <c r="N189" s="42" t="s">
        <v>1118</v>
      </c>
      <c r="O189" s="42" t="s">
        <v>160</v>
      </c>
      <c r="P189" s="42" t="s">
        <v>160</v>
      </c>
      <c r="Q189" s="44" t="s">
        <v>1156</v>
      </c>
      <c r="S189" s="19" t="s">
        <v>160</v>
      </c>
      <c r="T189" s="19" t="s">
        <v>160</v>
      </c>
      <c r="U189" s="19">
        <v>2</v>
      </c>
      <c r="V189" s="42" t="s">
        <v>160</v>
      </c>
      <c r="W189" s="42" t="s">
        <v>160</v>
      </c>
      <c r="X189" s="42" t="s">
        <v>160</v>
      </c>
      <c r="Y189" s="42" t="s">
        <v>160</v>
      </c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Z189" s="42"/>
      <c r="BA189" s="42"/>
      <c r="BB189" s="42"/>
      <c r="BC189" s="42"/>
      <c r="BD189" s="42"/>
      <c r="BE189" s="42"/>
    </row>
    <row r="190" spans="1:57" x14ac:dyDescent="0.25">
      <c r="A190" s="53" t="s">
        <v>2763</v>
      </c>
      <c r="B190" s="138">
        <v>35213</v>
      </c>
      <c r="C190" s="53" t="s">
        <v>774</v>
      </c>
      <c r="D190" s="53" t="s">
        <v>774</v>
      </c>
      <c r="E190" s="30">
        <f>56+53/60+31.27/3600</f>
        <v>56.892019444444443</v>
      </c>
      <c r="F190" s="3">
        <f>12+29/60+22.039/3600</f>
        <v>12.489455277777777</v>
      </c>
      <c r="G190" s="53">
        <v>1.69</v>
      </c>
      <c r="H190" s="9" t="s">
        <v>150</v>
      </c>
      <c r="I190" s="7" t="s">
        <v>169</v>
      </c>
      <c r="J190" s="53" t="s">
        <v>169</v>
      </c>
      <c r="K190" s="7" t="s">
        <v>6</v>
      </c>
      <c r="L190" s="7" t="s">
        <v>2031</v>
      </c>
      <c r="M190" s="7" t="s">
        <v>2653</v>
      </c>
      <c r="N190" s="42" t="s">
        <v>1118</v>
      </c>
      <c r="O190" s="42" t="s">
        <v>160</v>
      </c>
      <c r="P190" s="42" t="s">
        <v>160</v>
      </c>
      <c r="Q190" s="44" t="s">
        <v>1156</v>
      </c>
      <c r="S190" s="19" t="s">
        <v>160</v>
      </c>
      <c r="T190" s="19" t="s">
        <v>160</v>
      </c>
      <c r="U190" s="42">
        <v>2</v>
      </c>
      <c r="V190" s="20" t="s">
        <v>160</v>
      </c>
      <c r="W190" s="20" t="s">
        <v>160</v>
      </c>
      <c r="X190" s="20" t="s">
        <v>160</v>
      </c>
      <c r="Y190" s="20" t="s">
        <v>160</v>
      </c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94" customFormat="1" x14ac:dyDescent="0.25">
      <c r="A191" s="105" t="s">
        <v>2773</v>
      </c>
      <c r="B191" s="139" t="s">
        <v>2781</v>
      </c>
      <c r="C191" s="110" t="s">
        <v>774</v>
      </c>
      <c r="D191" s="153" t="s">
        <v>774</v>
      </c>
      <c r="E191" s="101">
        <f>56+53/60+31.2828/3600</f>
        <v>56.892023000000002</v>
      </c>
      <c r="F191" s="82">
        <f>12+29/60+22.056/3600</f>
        <v>12.489459999999999</v>
      </c>
      <c r="G191" s="87">
        <v>1.69</v>
      </c>
      <c r="H191" s="105" t="s">
        <v>150</v>
      </c>
      <c r="I191" s="105" t="s">
        <v>3036</v>
      </c>
      <c r="J191" s="105" t="s">
        <v>169</v>
      </c>
      <c r="K191" s="105" t="s">
        <v>40</v>
      </c>
      <c r="L191" s="105" t="s">
        <v>2055</v>
      </c>
      <c r="M191" s="105" t="s">
        <v>2653</v>
      </c>
      <c r="N191" s="106" t="s">
        <v>1118</v>
      </c>
      <c r="O191" s="106" t="s">
        <v>160</v>
      </c>
      <c r="P191" s="106" t="s">
        <v>160</v>
      </c>
      <c r="Q191" s="107" t="s">
        <v>1156</v>
      </c>
      <c r="R191" s="108"/>
      <c r="S191" s="108" t="s">
        <v>160</v>
      </c>
      <c r="T191" s="108" t="s">
        <v>160</v>
      </c>
      <c r="U191" s="106">
        <v>2</v>
      </c>
      <c r="V191" s="103" t="s">
        <v>160</v>
      </c>
      <c r="W191" s="103" t="s">
        <v>160</v>
      </c>
      <c r="X191" s="103" t="s">
        <v>160</v>
      </c>
      <c r="Y191" s="103" t="s">
        <v>160</v>
      </c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 t="s">
        <v>160</v>
      </c>
      <c r="AS191" s="103" t="s">
        <v>160</v>
      </c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  <c r="BD191" s="103"/>
      <c r="BE191" s="103"/>
    </row>
    <row r="192" spans="1:57" x14ac:dyDescent="0.25">
      <c r="A192" s="7" t="s">
        <v>8</v>
      </c>
      <c r="B192" s="142" t="s">
        <v>2867</v>
      </c>
      <c r="C192" s="23" t="s">
        <v>774</v>
      </c>
      <c r="D192" s="24" t="s">
        <v>774</v>
      </c>
      <c r="E192" s="193">
        <v>56.892000000000003</v>
      </c>
      <c r="F192" s="193">
        <v>12.4895</v>
      </c>
      <c r="G192" s="43"/>
      <c r="H192" s="7" t="s">
        <v>150</v>
      </c>
      <c r="I192" s="7" t="s">
        <v>3036</v>
      </c>
      <c r="J192" s="7" t="s">
        <v>169</v>
      </c>
      <c r="K192" s="7" t="s">
        <v>40</v>
      </c>
      <c r="L192" s="7" t="s">
        <v>2055</v>
      </c>
      <c r="M192" s="7" t="s">
        <v>2653</v>
      </c>
      <c r="N192" s="42" t="s">
        <v>1118</v>
      </c>
      <c r="O192" s="42" t="s">
        <v>160</v>
      </c>
      <c r="P192" s="42" t="s">
        <v>160</v>
      </c>
      <c r="Q192" s="44" t="s">
        <v>1156</v>
      </c>
      <c r="S192" s="19" t="s">
        <v>160</v>
      </c>
      <c r="T192" s="19" t="s">
        <v>160</v>
      </c>
      <c r="U192" s="42">
        <v>2</v>
      </c>
      <c r="V192" s="20" t="s">
        <v>160</v>
      </c>
      <c r="W192" s="20" t="s">
        <v>160</v>
      </c>
      <c r="X192" s="20" t="s">
        <v>160</v>
      </c>
      <c r="Y192" s="20" t="s">
        <v>160</v>
      </c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 t="s">
        <v>160</v>
      </c>
      <c r="AS192" s="20" t="s">
        <v>160</v>
      </c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</row>
    <row r="193" spans="1:57" x14ac:dyDescent="0.25">
      <c r="A193" s="9" t="s">
        <v>706</v>
      </c>
      <c r="B193" s="140">
        <v>36</v>
      </c>
      <c r="C193" s="23" t="s">
        <v>774</v>
      </c>
      <c r="D193" s="62" t="s">
        <v>22</v>
      </c>
      <c r="E193" s="5">
        <f>56+53/60+31/3600</f>
        <v>56.891944444444441</v>
      </c>
      <c r="F193" s="5">
        <f>12+29/60+22/3600</f>
        <v>12.489444444444443</v>
      </c>
      <c r="G193" s="43"/>
      <c r="H193" s="9" t="s">
        <v>150</v>
      </c>
      <c r="I193" s="7" t="s">
        <v>169</v>
      </c>
      <c r="J193" s="7" t="s">
        <v>169</v>
      </c>
      <c r="K193" s="9" t="s">
        <v>6</v>
      </c>
      <c r="L193" s="7" t="s">
        <v>2031</v>
      </c>
      <c r="M193" s="7" t="s">
        <v>2653</v>
      </c>
      <c r="N193" s="42" t="s">
        <v>1118</v>
      </c>
      <c r="O193" s="42" t="s">
        <v>160</v>
      </c>
      <c r="P193" s="42" t="s">
        <v>160</v>
      </c>
      <c r="Q193" s="44" t="s">
        <v>1156</v>
      </c>
      <c r="S193" s="19" t="s">
        <v>160</v>
      </c>
      <c r="T193" s="19" t="s">
        <v>160</v>
      </c>
      <c r="U193" s="19">
        <v>2</v>
      </c>
      <c r="V193" s="19" t="s">
        <v>160</v>
      </c>
      <c r="W193" s="19" t="s">
        <v>160</v>
      </c>
      <c r="X193" s="19" t="s">
        <v>160</v>
      </c>
      <c r="Y193" s="19" t="s">
        <v>160</v>
      </c>
      <c r="BB193" s="19"/>
      <c r="BC193" s="19"/>
      <c r="BD193" s="19"/>
      <c r="BE193" s="19"/>
    </row>
    <row r="194" spans="1:57" x14ac:dyDescent="0.25">
      <c r="A194" s="9" t="s">
        <v>706</v>
      </c>
      <c r="B194" s="38">
        <v>119</v>
      </c>
      <c r="C194" s="45" t="s">
        <v>774</v>
      </c>
      <c r="D194" s="62" t="s">
        <v>23</v>
      </c>
      <c r="E194" s="3">
        <f>56+53/60+5/3600</f>
        <v>56.884722222222223</v>
      </c>
      <c r="F194" s="3">
        <f>12+28/60+6/3600</f>
        <v>12.468333333333334</v>
      </c>
      <c r="G194" s="40"/>
      <c r="H194" s="9" t="s">
        <v>150</v>
      </c>
      <c r="I194" s="41" t="s">
        <v>235</v>
      </c>
      <c r="J194" s="41" t="s">
        <v>169</v>
      </c>
      <c r="K194" s="9" t="s">
        <v>5</v>
      </c>
      <c r="L194" s="7" t="s">
        <v>2043</v>
      </c>
      <c r="M194" s="7" t="s">
        <v>2653</v>
      </c>
      <c r="N194" s="19" t="s">
        <v>1118</v>
      </c>
      <c r="AR194" s="19" t="s">
        <v>160</v>
      </c>
      <c r="AS194" s="19" t="s">
        <v>160</v>
      </c>
      <c r="BB194" s="19"/>
      <c r="BC194" s="19"/>
      <c r="BD194" s="19"/>
      <c r="BE194" s="19"/>
    </row>
    <row r="195" spans="1:57" x14ac:dyDescent="0.25">
      <c r="A195" s="6" t="s">
        <v>8</v>
      </c>
      <c r="B195" s="9">
        <v>62520</v>
      </c>
      <c r="C195" s="9" t="s">
        <v>2250</v>
      </c>
      <c r="D195" s="9" t="s">
        <v>774</v>
      </c>
      <c r="E195" s="3">
        <v>56.8994</v>
      </c>
      <c r="F195" s="3">
        <v>12.479799999999999</v>
      </c>
      <c r="G195" s="9">
        <v>5</v>
      </c>
      <c r="H195" s="9" t="s">
        <v>150</v>
      </c>
      <c r="I195" s="6" t="s">
        <v>8</v>
      </c>
      <c r="J195" s="21" t="s">
        <v>8</v>
      </c>
      <c r="K195" s="3" t="s">
        <v>5</v>
      </c>
      <c r="L195" s="5" t="s">
        <v>2028</v>
      </c>
      <c r="M195" s="5" t="s">
        <v>717</v>
      </c>
      <c r="N195" s="19" t="s">
        <v>2562</v>
      </c>
      <c r="P195" s="19" t="s">
        <v>160</v>
      </c>
      <c r="AR195" s="29"/>
      <c r="AS195" s="29"/>
      <c r="AT195" s="19" t="s">
        <v>160</v>
      </c>
      <c r="BB195" s="19"/>
      <c r="BC195" s="19"/>
      <c r="BD195" s="19"/>
      <c r="BE195" s="19"/>
    </row>
    <row r="196" spans="1:57" x14ac:dyDescent="0.25">
      <c r="A196" s="6" t="s">
        <v>8</v>
      </c>
      <c r="B196" s="9">
        <v>52230</v>
      </c>
      <c r="C196" s="9" t="s">
        <v>2384</v>
      </c>
      <c r="D196" s="9" t="s">
        <v>1378</v>
      </c>
      <c r="E196" s="3">
        <v>55.383699999999997</v>
      </c>
      <c r="F196" s="3">
        <v>12.816700000000001</v>
      </c>
      <c r="G196" s="9">
        <v>1.5409999999999999</v>
      </c>
      <c r="H196" s="9" t="s">
        <v>150</v>
      </c>
      <c r="I196" s="21" t="s">
        <v>8</v>
      </c>
      <c r="J196" s="21" t="s">
        <v>8</v>
      </c>
      <c r="K196" s="3" t="s">
        <v>5</v>
      </c>
      <c r="L196" s="5" t="s">
        <v>2680</v>
      </c>
      <c r="M196" s="7" t="s">
        <v>2653</v>
      </c>
      <c r="N196" s="19" t="s">
        <v>2385</v>
      </c>
      <c r="P196" s="19" t="s">
        <v>160</v>
      </c>
      <c r="AR196" s="19" t="s">
        <v>160</v>
      </c>
      <c r="AS196" s="19" t="s">
        <v>160</v>
      </c>
      <c r="AT196" s="19" t="s">
        <v>160</v>
      </c>
      <c r="AU196" s="19" t="s">
        <v>160</v>
      </c>
      <c r="AV196" s="19" t="s">
        <v>160</v>
      </c>
      <c r="AW196" s="19" t="s">
        <v>160</v>
      </c>
      <c r="AX196" s="19" t="s">
        <v>160</v>
      </c>
      <c r="AY196" s="19" t="s">
        <v>160</v>
      </c>
      <c r="AZ196" s="19" t="s">
        <v>160</v>
      </c>
      <c r="BA196" s="19" t="s">
        <v>160</v>
      </c>
      <c r="BB196" s="19"/>
      <c r="BC196" s="19"/>
      <c r="BD196" s="19"/>
      <c r="BE196" s="19"/>
    </row>
    <row r="197" spans="1:57" s="33" customFormat="1" x14ac:dyDescent="0.25">
      <c r="A197" s="32" t="s">
        <v>707</v>
      </c>
      <c r="C197" s="33" t="s">
        <v>1379</v>
      </c>
      <c r="D197" s="33" t="s">
        <v>1380</v>
      </c>
      <c r="E197" s="35"/>
      <c r="F197" s="35"/>
      <c r="H197" s="33" t="s">
        <v>150</v>
      </c>
      <c r="I197" s="21" t="s">
        <v>8</v>
      </c>
      <c r="J197" s="32" t="s">
        <v>8</v>
      </c>
      <c r="K197" s="35" t="s">
        <v>5</v>
      </c>
      <c r="L197" s="35" t="s">
        <v>2043</v>
      </c>
      <c r="M197" s="33" t="s">
        <v>2653</v>
      </c>
      <c r="N197" s="37" t="s">
        <v>1108</v>
      </c>
      <c r="O197" s="37"/>
      <c r="P197" s="37" t="s">
        <v>160</v>
      </c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 t="s">
        <v>160</v>
      </c>
      <c r="AS197" s="37" t="s">
        <v>160</v>
      </c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</row>
    <row r="198" spans="1:57" s="94" customFormat="1" x14ac:dyDescent="0.25">
      <c r="A198" s="114" t="s">
        <v>2773</v>
      </c>
      <c r="B198" s="94" t="s">
        <v>2847</v>
      </c>
      <c r="C198" s="94" t="s">
        <v>1379</v>
      </c>
      <c r="D198" s="153" t="s">
        <v>1380</v>
      </c>
      <c r="E198" s="93">
        <f>55+23/60+1.32/3600</f>
        <v>55.383699999999997</v>
      </c>
      <c r="F198" s="93">
        <f>12+48/60+59.76/3600</f>
        <v>12.816600000000001</v>
      </c>
      <c r="G198" s="94">
        <v>1.575</v>
      </c>
      <c r="H198" s="94" t="s">
        <v>150</v>
      </c>
      <c r="I198" s="122" t="s">
        <v>8</v>
      </c>
      <c r="J198" s="122" t="s">
        <v>8</v>
      </c>
      <c r="K198" s="82" t="s">
        <v>5</v>
      </c>
      <c r="L198" s="93" t="s">
        <v>2680</v>
      </c>
      <c r="M198" s="105" t="s">
        <v>2653</v>
      </c>
      <c r="N198" s="108" t="s">
        <v>1108</v>
      </c>
      <c r="O198" s="108"/>
      <c r="P198" s="108" t="s">
        <v>160</v>
      </c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  <c r="AN198" s="108"/>
      <c r="AO198" s="108"/>
      <c r="AP198" s="108"/>
      <c r="AQ198" s="108"/>
      <c r="AR198" s="108" t="s">
        <v>160</v>
      </c>
      <c r="AS198" s="108" t="s">
        <v>160</v>
      </c>
      <c r="AT198" s="108" t="s">
        <v>160</v>
      </c>
      <c r="AU198" s="108" t="s">
        <v>160</v>
      </c>
      <c r="AV198" s="108" t="s">
        <v>160</v>
      </c>
      <c r="AW198" s="108" t="s">
        <v>160</v>
      </c>
      <c r="AX198" s="108" t="s">
        <v>160</v>
      </c>
      <c r="AY198" s="108" t="s">
        <v>160</v>
      </c>
      <c r="AZ198" s="108" t="s">
        <v>160</v>
      </c>
      <c r="BA198" s="108" t="s">
        <v>160</v>
      </c>
      <c r="BB198" s="108"/>
      <c r="BC198" s="108"/>
      <c r="BD198" s="108"/>
      <c r="BE198" s="108"/>
    </row>
    <row r="199" spans="1:57" x14ac:dyDescent="0.25">
      <c r="A199" s="6" t="s">
        <v>8</v>
      </c>
      <c r="B199" s="9">
        <v>52240</v>
      </c>
      <c r="C199" s="9" t="s">
        <v>1379</v>
      </c>
      <c r="D199" s="9" t="s">
        <v>1380</v>
      </c>
      <c r="E199" s="5">
        <f>55+23/60+1.32/3600</f>
        <v>55.383699999999997</v>
      </c>
      <c r="F199" s="5">
        <f>12+48/60+59.76/3600</f>
        <v>12.816600000000001</v>
      </c>
      <c r="G199" s="9">
        <v>1.575</v>
      </c>
      <c r="H199" s="9" t="s">
        <v>150</v>
      </c>
      <c r="I199" s="21" t="s">
        <v>8</v>
      </c>
      <c r="J199" s="21" t="s">
        <v>8</v>
      </c>
      <c r="K199" s="3" t="s">
        <v>5</v>
      </c>
      <c r="L199" s="5" t="s">
        <v>2680</v>
      </c>
      <c r="M199" s="7" t="s">
        <v>2653</v>
      </c>
      <c r="N199" s="19" t="s">
        <v>1108</v>
      </c>
      <c r="P199" s="19" t="s">
        <v>160</v>
      </c>
      <c r="AR199" s="19" t="s">
        <v>160</v>
      </c>
      <c r="AS199" s="19" t="s">
        <v>160</v>
      </c>
      <c r="AT199" s="19" t="s">
        <v>160</v>
      </c>
      <c r="AU199" s="19" t="s">
        <v>160</v>
      </c>
      <c r="AV199" s="19" t="s">
        <v>160</v>
      </c>
      <c r="AW199" s="19" t="s">
        <v>160</v>
      </c>
      <c r="AX199" s="19" t="s">
        <v>160</v>
      </c>
      <c r="AY199" s="19" t="s">
        <v>160</v>
      </c>
      <c r="AZ199" s="19" t="s">
        <v>160</v>
      </c>
      <c r="BA199" s="19" t="s">
        <v>160</v>
      </c>
      <c r="BB199" s="19"/>
      <c r="BC199" s="19"/>
      <c r="BD199" s="19"/>
      <c r="BE199" s="19"/>
    </row>
    <row r="200" spans="1:57" x14ac:dyDescent="0.25">
      <c r="A200" s="6" t="s">
        <v>706</v>
      </c>
      <c r="B200" s="9">
        <v>205</v>
      </c>
      <c r="C200" s="9" t="s">
        <v>1379</v>
      </c>
      <c r="D200" s="62" t="s">
        <v>2658</v>
      </c>
      <c r="E200" s="5">
        <f>55+23/60+1/3600</f>
        <v>55.383611111111108</v>
      </c>
      <c r="F200" s="35">
        <f>12+49/60</f>
        <v>12.816666666666666</v>
      </c>
      <c r="G200" s="33"/>
      <c r="H200" s="9" t="s">
        <v>150</v>
      </c>
      <c r="I200" s="21" t="s">
        <v>8</v>
      </c>
      <c r="J200" s="21" t="s">
        <v>8</v>
      </c>
      <c r="K200" s="3" t="s">
        <v>5</v>
      </c>
      <c r="L200" s="5" t="s">
        <v>2043</v>
      </c>
      <c r="M200" s="7" t="s">
        <v>2653</v>
      </c>
      <c r="N200" s="19" t="s">
        <v>1108</v>
      </c>
      <c r="P200" s="19" t="s">
        <v>160</v>
      </c>
      <c r="AR200" s="19" t="s">
        <v>160</v>
      </c>
      <c r="AS200" s="19" t="s">
        <v>160</v>
      </c>
      <c r="BB200" s="19"/>
      <c r="BC200" s="19"/>
      <c r="BD200" s="19"/>
      <c r="BE200" s="19"/>
    </row>
    <row r="201" spans="1:57" x14ac:dyDescent="0.25">
      <c r="A201" s="9" t="s">
        <v>8</v>
      </c>
      <c r="B201" s="26">
        <v>35010</v>
      </c>
      <c r="C201" s="24" t="s">
        <v>1043</v>
      </c>
      <c r="D201" t="s">
        <v>1044</v>
      </c>
      <c r="E201" s="25">
        <f>55+18/60</f>
        <v>55.3</v>
      </c>
      <c r="F201" s="25">
        <f>12+47/60</f>
        <v>12.783333333333333</v>
      </c>
      <c r="G201" s="33"/>
      <c r="H201" s="9" t="s">
        <v>150</v>
      </c>
      <c r="I201" s="9" t="s">
        <v>8</v>
      </c>
      <c r="J201" s="7" t="s">
        <v>8</v>
      </c>
      <c r="K201" s="10" t="s">
        <v>953</v>
      </c>
      <c r="L201" s="7" t="s">
        <v>2685</v>
      </c>
      <c r="M201" s="7" t="s">
        <v>717</v>
      </c>
      <c r="N201" s="42" t="s">
        <v>1335</v>
      </c>
      <c r="O201" s="42"/>
      <c r="P201" s="42"/>
      <c r="S201" s="19" t="s">
        <v>160</v>
      </c>
      <c r="T201" s="19" t="s">
        <v>160</v>
      </c>
      <c r="U201" s="42"/>
      <c r="X201" s="19" t="s">
        <v>160</v>
      </c>
      <c r="Z201" s="19" t="s">
        <v>160</v>
      </c>
      <c r="AL201" s="19" t="s">
        <v>160</v>
      </c>
      <c r="AR201" s="19" t="s">
        <v>160</v>
      </c>
      <c r="AT201" s="19" t="s">
        <v>160</v>
      </c>
      <c r="BB201" s="19"/>
      <c r="BC201" s="19"/>
      <c r="BD201" s="19"/>
      <c r="BE201" s="19"/>
    </row>
    <row r="202" spans="1:57" x14ac:dyDescent="0.25">
      <c r="A202" s="6" t="s">
        <v>8</v>
      </c>
      <c r="B202" s="9">
        <v>79580</v>
      </c>
      <c r="C202" s="9" t="s">
        <v>2321</v>
      </c>
      <c r="D202" s="9" t="s">
        <v>1381</v>
      </c>
      <c r="E202" s="3">
        <v>57.898699999999998</v>
      </c>
      <c r="F202" s="3">
        <v>19.159199999999998</v>
      </c>
      <c r="G202" s="9">
        <v>8</v>
      </c>
      <c r="H202" s="9" t="s">
        <v>150</v>
      </c>
      <c r="I202" s="6" t="s">
        <v>8</v>
      </c>
      <c r="J202" s="21" t="s">
        <v>8</v>
      </c>
      <c r="K202" s="3" t="s">
        <v>5</v>
      </c>
      <c r="L202" s="5" t="s">
        <v>2680</v>
      </c>
      <c r="M202" s="7" t="s">
        <v>717</v>
      </c>
      <c r="N202" s="19" t="s">
        <v>2469</v>
      </c>
      <c r="P202" s="19" t="s">
        <v>160</v>
      </c>
      <c r="AR202" s="19" t="s">
        <v>160</v>
      </c>
      <c r="AT202" s="19" t="s">
        <v>160</v>
      </c>
      <c r="AV202" s="19" t="s">
        <v>160</v>
      </c>
      <c r="AX202" s="19" t="s">
        <v>160</v>
      </c>
      <c r="AZ202" s="19" t="s">
        <v>160</v>
      </c>
      <c r="BB202" s="19"/>
      <c r="BC202" s="19"/>
      <c r="BD202" s="19"/>
      <c r="BE202" s="19"/>
    </row>
    <row r="203" spans="1:57" s="94" customFormat="1" x14ac:dyDescent="0.25">
      <c r="A203" s="98" t="s">
        <v>2773</v>
      </c>
      <c r="B203" s="135">
        <v>2079</v>
      </c>
      <c r="C203" s="98" t="s">
        <v>1262</v>
      </c>
      <c r="D203" s="98" t="s">
        <v>1225</v>
      </c>
      <c r="E203" s="189">
        <f>57+52/60+12/3600</f>
        <v>57.87</v>
      </c>
      <c r="F203" s="189">
        <f>19+3/60</f>
        <v>19.05</v>
      </c>
      <c r="G203" s="101"/>
      <c r="H203" s="98" t="s">
        <v>150</v>
      </c>
      <c r="I203" s="98" t="s">
        <v>8</v>
      </c>
      <c r="J203" s="102" t="s">
        <v>8</v>
      </c>
      <c r="K203" s="98" t="s">
        <v>6</v>
      </c>
      <c r="L203" s="102" t="s">
        <v>2030</v>
      </c>
      <c r="M203" s="102" t="s">
        <v>717</v>
      </c>
      <c r="N203" s="104" t="s">
        <v>1301</v>
      </c>
      <c r="O203" s="104"/>
      <c r="P203" s="104"/>
      <c r="Q203" s="108" t="s">
        <v>1670</v>
      </c>
      <c r="R203" s="103"/>
      <c r="S203" s="103"/>
      <c r="T203" s="103"/>
      <c r="U203" s="104">
        <v>4</v>
      </c>
      <c r="V203" s="103" t="s">
        <v>160</v>
      </c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  <c r="BD203" s="103"/>
      <c r="BE203" s="103"/>
    </row>
    <row r="204" spans="1:57" x14ac:dyDescent="0.25">
      <c r="A204" s="10" t="s">
        <v>8</v>
      </c>
      <c r="B204" s="155">
        <v>2079</v>
      </c>
      <c r="C204" s="10" t="s">
        <v>1262</v>
      </c>
      <c r="D204" s="10" t="s">
        <v>1225</v>
      </c>
      <c r="E204" s="194">
        <v>57.87</v>
      </c>
      <c r="F204" s="194">
        <v>19.05</v>
      </c>
      <c r="G204" s="30"/>
      <c r="H204" s="10" t="s">
        <v>150</v>
      </c>
      <c r="I204" s="10" t="s">
        <v>8</v>
      </c>
      <c r="J204" s="24" t="s">
        <v>8</v>
      </c>
      <c r="K204" s="10" t="s">
        <v>6</v>
      </c>
      <c r="L204" s="24" t="s">
        <v>2030</v>
      </c>
      <c r="M204" s="24" t="s">
        <v>717</v>
      </c>
      <c r="N204" s="22" t="s">
        <v>1301</v>
      </c>
      <c r="O204" s="22"/>
      <c r="P204" s="22"/>
      <c r="Q204" s="19" t="s">
        <v>1670</v>
      </c>
      <c r="R204" s="20"/>
      <c r="S204" s="20"/>
      <c r="T204" s="20"/>
      <c r="U204" s="22">
        <v>4</v>
      </c>
      <c r="V204" s="20" t="s">
        <v>160</v>
      </c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</row>
    <row r="205" spans="1:57" x14ac:dyDescent="0.25">
      <c r="A205" s="6" t="s">
        <v>8</v>
      </c>
      <c r="B205" s="9">
        <v>79520</v>
      </c>
      <c r="C205" s="9" t="s">
        <v>2278</v>
      </c>
      <c r="D205" s="9" t="s">
        <v>1225</v>
      </c>
      <c r="E205" s="3">
        <v>57.851399999999998</v>
      </c>
      <c r="F205" s="3">
        <v>19.014199999999999</v>
      </c>
      <c r="G205" s="9">
        <v>27</v>
      </c>
      <c r="H205" s="9" t="s">
        <v>150</v>
      </c>
      <c r="I205" s="6" t="s">
        <v>8</v>
      </c>
      <c r="J205" s="21" t="s">
        <v>8</v>
      </c>
      <c r="K205" s="3" t="s">
        <v>5</v>
      </c>
      <c r="L205" s="5" t="s">
        <v>2058</v>
      </c>
      <c r="M205" s="7" t="s">
        <v>717</v>
      </c>
      <c r="N205" s="19" t="s">
        <v>2470</v>
      </c>
      <c r="P205" s="19" t="s">
        <v>160</v>
      </c>
      <c r="AR205" s="19" t="s">
        <v>160</v>
      </c>
      <c r="AV205" s="19" t="s">
        <v>160</v>
      </c>
      <c r="AZ205" s="19" t="s">
        <v>160</v>
      </c>
      <c r="BB205" s="19"/>
      <c r="BC205" s="19"/>
      <c r="BD205" s="19"/>
      <c r="BE205" s="19"/>
    </row>
    <row r="206" spans="1:57" x14ac:dyDescent="0.25">
      <c r="A206" s="6" t="s">
        <v>8</v>
      </c>
      <c r="B206" s="9">
        <v>78550</v>
      </c>
      <c r="C206" s="9" t="s">
        <v>1382</v>
      </c>
      <c r="D206" s="9" t="s">
        <v>1383</v>
      </c>
      <c r="E206" s="3">
        <v>57.916499999999999</v>
      </c>
      <c r="F206" s="3">
        <v>18.953299999999999</v>
      </c>
      <c r="G206" s="9">
        <v>12.756</v>
      </c>
      <c r="H206" s="9" t="s">
        <v>150</v>
      </c>
      <c r="I206" s="21" t="s">
        <v>8</v>
      </c>
      <c r="J206" s="21" t="s">
        <v>8</v>
      </c>
      <c r="K206" s="3" t="s">
        <v>5</v>
      </c>
      <c r="L206" s="5" t="s">
        <v>2681</v>
      </c>
      <c r="M206" s="7" t="s">
        <v>2653</v>
      </c>
      <c r="N206" s="19" t="s">
        <v>2303</v>
      </c>
      <c r="P206" s="19" t="s">
        <v>160</v>
      </c>
      <c r="AR206" s="19" t="s">
        <v>160</v>
      </c>
      <c r="AS206" s="19" t="s">
        <v>160</v>
      </c>
      <c r="AT206" s="19" t="s">
        <v>160</v>
      </c>
      <c r="AU206" s="19" t="s">
        <v>160</v>
      </c>
      <c r="AX206" s="19" t="s">
        <v>160</v>
      </c>
      <c r="AY206" s="19" t="s">
        <v>160</v>
      </c>
      <c r="AZ206" s="19" t="s">
        <v>160</v>
      </c>
      <c r="BA206" s="19" t="s">
        <v>160</v>
      </c>
      <c r="BB206" s="19"/>
      <c r="BC206" s="19"/>
      <c r="BD206" s="19"/>
      <c r="BE206" s="19"/>
    </row>
    <row r="207" spans="1:57" x14ac:dyDescent="0.25">
      <c r="A207" s="9" t="s">
        <v>8</v>
      </c>
      <c r="B207" s="27">
        <v>37103</v>
      </c>
      <c r="C207" s="28" t="s">
        <v>1909</v>
      </c>
      <c r="D207" s="28" t="s">
        <v>1716</v>
      </c>
      <c r="E207" s="25">
        <v>65.333299999999994</v>
      </c>
      <c r="F207" s="25">
        <v>22.7333</v>
      </c>
      <c r="H207" s="9" t="s">
        <v>150</v>
      </c>
      <c r="I207" s="6" t="s">
        <v>8</v>
      </c>
      <c r="J207" s="21" t="s">
        <v>8</v>
      </c>
      <c r="K207" s="6" t="s">
        <v>2455</v>
      </c>
      <c r="L207" s="7" t="s">
        <v>2027</v>
      </c>
      <c r="M207" s="28" t="s">
        <v>717</v>
      </c>
      <c r="N207" s="19" t="s">
        <v>1813</v>
      </c>
      <c r="T207" s="7"/>
      <c r="X207" s="19" t="s">
        <v>160</v>
      </c>
      <c r="BA207" s="7"/>
      <c r="BB207" s="7"/>
      <c r="BC207" s="7"/>
      <c r="BD207" s="7"/>
      <c r="BE207" s="7"/>
    </row>
    <row r="208" spans="1:57" x14ac:dyDescent="0.25">
      <c r="A208" s="6" t="s">
        <v>8</v>
      </c>
      <c r="B208" s="9">
        <v>162800</v>
      </c>
      <c r="C208" s="9" t="s">
        <v>1384</v>
      </c>
      <c r="D208" s="9" t="s">
        <v>1385</v>
      </c>
      <c r="E208" s="3">
        <v>65.33</v>
      </c>
      <c r="F208" s="3">
        <v>22.75</v>
      </c>
      <c r="G208" s="9">
        <v>1</v>
      </c>
      <c r="H208" s="9" t="s">
        <v>150</v>
      </c>
      <c r="I208" s="6" t="s">
        <v>8</v>
      </c>
      <c r="J208" s="21" t="s">
        <v>8</v>
      </c>
      <c r="K208" s="3" t="s">
        <v>5</v>
      </c>
      <c r="L208" s="5" t="s">
        <v>2043</v>
      </c>
      <c r="M208" s="7" t="s">
        <v>717</v>
      </c>
      <c r="N208" s="19" t="s">
        <v>1857</v>
      </c>
      <c r="P208" s="19" t="s">
        <v>160</v>
      </c>
      <c r="AR208" s="19" t="s">
        <v>160</v>
      </c>
      <c r="BB208" s="19"/>
      <c r="BC208" s="19"/>
      <c r="BD208" s="19"/>
      <c r="BE208" s="19"/>
    </row>
    <row r="209" spans="1:57" x14ac:dyDescent="0.25">
      <c r="A209" s="9" t="s">
        <v>8</v>
      </c>
      <c r="B209" s="26">
        <v>35002</v>
      </c>
      <c r="C209" s="24" t="s">
        <v>1029</v>
      </c>
      <c r="D209" t="s">
        <v>1030</v>
      </c>
      <c r="E209" s="25">
        <f>61+2/60</f>
        <v>61.033333333333331</v>
      </c>
      <c r="F209" s="25">
        <f>18+31/60</f>
        <v>18.516666666666666</v>
      </c>
      <c r="G209" s="9"/>
      <c r="H209" s="9" t="s">
        <v>150</v>
      </c>
      <c r="I209" s="9" t="s">
        <v>8</v>
      </c>
      <c r="J209" s="7" t="s">
        <v>8</v>
      </c>
      <c r="K209" s="10" t="s">
        <v>953</v>
      </c>
      <c r="L209" s="7" t="s">
        <v>2685</v>
      </c>
      <c r="M209" s="7" t="s">
        <v>717</v>
      </c>
      <c r="N209" s="42" t="s">
        <v>1336</v>
      </c>
      <c r="O209" s="42"/>
      <c r="P209" s="42"/>
      <c r="S209" s="19" t="s">
        <v>160</v>
      </c>
      <c r="T209" s="19" t="s">
        <v>160</v>
      </c>
      <c r="U209" s="42"/>
      <c r="X209" s="19" t="s">
        <v>160</v>
      </c>
      <c r="Z209" s="19" t="s">
        <v>160</v>
      </c>
      <c r="AL209" s="19" t="s">
        <v>160</v>
      </c>
      <c r="AR209" s="19" t="s">
        <v>160</v>
      </c>
      <c r="AT209" s="19" t="s">
        <v>160</v>
      </c>
      <c r="BB209" s="19"/>
      <c r="BC209" s="19"/>
      <c r="BD209" s="19"/>
      <c r="BE209" s="19"/>
    </row>
    <row r="210" spans="1:57" x14ac:dyDescent="0.25">
      <c r="A210" s="6" t="s">
        <v>8</v>
      </c>
      <c r="B210" s="9">
        <v>118610</v>
      </c>
      <c r="C210" s="9" t="s">
        <v>1029</v>
      </c>
      <c r="D210" s="9" t="s">
        <v>1386</v>
      </c>
      <c r="E210" s="3">
        <v>61.066600000000001</v>
      </c>
      <c r="F210" s="3">
        <v>18.683299999999999</v>
      </c>
      <c r="G210" s="9">
        <v>5</v>
      </c>
      <c r="H210" s="9" t="s">
        <v>150</v>
      </c>
      <c r="I210" s="6" t="s">
        <v>8</v>
      </c>
      <c r="J210" s="21" t="s">
        <v>8</v>
      </c>
      <c r="K210" s="3" t="s">
        <v>5</v>
      </c>
      <c r="L210" s="5" t="s">
        <v>2680</v>
      </c>
      <c r="M210" s="7" t="s">
        <v>717</v>
      </c>
      <c r="N210" s="19" t="s">
        <v>1710</v>
      </c>
      <c r="P210" s="19" t="s">
        <v>160</v>
      </c>
      <c r="AR210" s="19" t="s">
        <v>160</v>
      </c>
      <c r="AT210" s="19" t="s">
        <v>160</v>
      </c>
      <c r="AV210" s="19" t="s">
        <v>160</v>
      </c>
      <c r="AX210" s="19" t="s">
        <v>160</v>
      </c>
      <c r="AZ210" s="19" t="s">
        <v>160</v>
      </c>
      <c r="BB210" s="19"/>
      <c r="BC210" s="19"/>
      <c r="BD210" s="19"/>
      <c r="BE210" s="19"/>
    </row>
    <row r="211" spans="1:57" s="94" customFormat="1" x14ac:dyDescent="0.25">
      <c r="A211" s="9" t="s">
        <v>707</v>
      </c>
      <c r="B211" s="39" t="s">
        <v>240</v>
      </c>
      <c r="C211" s="39" t="s">
        <v>888</v>
      </c>
      <c r="D211" s="40" t="s">
        <v>241</v>
      </c>
      <c r="E211" s="46" t="s">
        <v>243</v>
      </c>
      <c r="F211" s="46" t="s">
        <v>242</v>
      </c>
      <c r="G211" s="40"/>
      <c r="H211" s="9" t="s">
        <v>150</v>
      </c>
      <c r="I211" s="41" t="s">
        <v>8</v>
      </c>
      <c r="J211" s="41" t="s">
        <v>8</v>
      </c>
      <c r="K211" s="40" t="s">
        <v>951</v>
      </c>
      <c r="L211" s="41" t="s">
        <v>2686</v>
      </c>
      <c r="M211" s="7" t="s">
        <v>2653</v>
      </c>
      <c r="N211" s="19" t="s">
        <v>1702</v>
      </c>
      <c r="O211" s="19"/>
      <c r="P211" s="19" t="s">
        <v>160</v>
      </c>
      <c r="Q211" s="19"/>
      <c r="R211" s="19"/>
      <c r="S211" s="19"/>
      <c r="T211" s="19"/>
      <c r="U211" s="19"/>
      <c r="V211" s="42"/>
      <c r="W211" s="42"/>
      <c r="X211" s="42" t="s">
        <v>160</v>
      </c>
      <c r="Y211" s="42" t="s">
        <v>160</v>
      </c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 t="s">
        <v>160</v>
      </c>
      <c r="AO211" s="42" t="s">
        <v>160</v>
      </c>
      <c r="AP211" s="42"/>
      <c r="AQ211" s="42"/>
      <c r="AR211" s="42"/>
      <c r="AS211" s="42"/>
      <c r="AT211" s="19" t="s">
        <v>160</v>
      </c>
      <c r="AU211" s="19" t="s">
        <v>160</v>
      </c>
      <c r="AV211" s="19"/>
      <c r="AW211" s="19"/>
      <c r="AX211" s="19"/>
      <c r="AY211" s="19"/>
      <c r="AZ211" s="42"/>
      <c r="BA211" s="42"/>
      <c r="BB211" s="42"/>
      <c r="BC211" s="42"/>
      <c r="BD211" s="42"/>
      <c r="BE211" s="42"/>
    </row>
    <row r="212" spans="1:57" x14ac:dyDescent="0.25">
      <c r="A212" s="94" t="s">
        <v>2773</v>
      </c>
      <c r="B212" s="115" t="s">
        <v>3028</v>
      </c>
      <c r="C212" s="110" t="s">
        <v>888</v>
      </c>
      <c r="D212" s="153" t="s">
        <v>938</v>
      </c>
      <c r="E212" s="84">
        <f>60+54/60</f>
        <v>60.9</v>
      </c>
      <c r="F212" s="84">
        <f>18+37/60</f>
        <v>18.616666666666667</v>
      </c>
      <c r="G212" s="84"/>
      <c r="H212" s="94" t="s">
        <v>150</v>
      </c>
      <c r="I212" s="113" t="s">
        <v>8</v>
      </c>
      <c r="J212" s="113" t="s">
        <v>8</v>
      </c>
      <c r="K212" s="112" t="s">
        <v>951</v>
      </c>
      <c r="L212" s="113" t="s">
        <v>2686</v>
      </c>
      <c r="M212" s="105" t="s">
        <v>2653</v>
      </c>
      <c r="N212" s="108" t="s">
        <v>1702</v>
      </c>
      <c r="O212" s="108"/>
      <c r="P212" s="108" t="s">
        <v>160</v>
      </c>
      <c r="Q212" s="108"/>
      <c r="R212" s="108"/>
      <c r="S212" s="108" t="s">
        <v>160</v>
      </c>
      <c r="T212" s="108" t="s">
        <v>160</v>
      </c>
      <c r="U212" s="108"/>
      <c r="V212" s="106"/>
      <c r="W212" s="106"/>
      <c r="X212" s="106" t="s">
        <v>160</v>
      </c>
      <c r="Y212" s="106" t="s">
        <v>160</v>
      </c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 t="s">
        <v>160</v>
      </c>
      <c r="AO212" s="106" t="s">
        <v>160</v>
      </c>
      <c r="AP212" s="106"/>
      <c r="AQ212" s="106"/>
      <c r="AR212" s="106"/>
      <c r="AS212" s="106"/>
      <c r="AT212" s="108" t="s">
        <v>160</v>
      </c>
      <c r="AU212" s="108" t="s">
        <v>160</v>
      </c>
      <c r="AV212" s="108"/>
      <c r="AW212" s="108"/>
      <c r="AX212" s="108"/>
      <c r="AY212" s="108"/>
      <c r="AZ212" s="106"/>
      <c r="BA212" s="106"/>
      <c r="BB212" s="106"/>
      <c r="BC212" s="106"/>
      <c r="BD212" s="106"/>
      <c r="BE212" s="106"/>
    </row>
    <row r="213" spans="1:57" x14ac:dyDescent="0.25">
      <c r="A213" s="9" t="s">
        <v>8</v>
      </c>
      <c r="B213" s="39">
        <v>33003</v>
      </c>
      <c r="C213" s="23" t="s">
        <v>888</v>
      </c>
      <c r="D213" t="s">
        <v>938</v>
      </c>
      <c r="E213" s="25">
        <f>60+54/60</f>
        <v>60.9</v>
      </c>
      <c r="F213" s="25">
        <f>18+37/60</f>
        <v>18.616666666666667</v>
      </c>
      <c r="G213" s="25"/>
      <c r="H213" s="9" t="s">
        <v>150</v>
      </c>
      <c r="I213" s="41" t="s">
        <v>8</v>
      </c>
      <c r="J213" s="41" t="s">
        <v>8</v>
      </c>
      <c r="K213" s="40" t="s">
        <v>951</v>
      </c>
      <c r="L213" s="41" t="s">
        <v>2686</v>
      </c>
      <c r="M213" s="7" t="s">
        <v>2653</v>
      </c>
      <c r="N213" s="19" t="s">
        <v>1702</v>
      </c>
      <c r="P213" s="19" t="s">
        <v>160</v>
      </c>
      <c r="S213" s="19" t="s">
        <v>160</v>
      </c>
      <c r="T213" s="19" t="s">
        <v>160</v>
      </c>
      <c r="V213" s="42"/>
      <c r="W213" s="42"/>
      <c r="X213" s="42" t="s">
        <v>160</v>
      </c>
      <c r="Y213" s="42" t="s">
        <v>160</v>
      </c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 t="s">
        <v>160</v>
      </c>
      <c r="AO213" s="42" t="s">
        <v>160</v>
      </c>
      <c r="AP213" s="42"/>
      <c r="AQ213" s="42"/>
      <c r="AR213" s="42"/>
      <c r="AS213" s="42"/>
      <c r="AT213" s="19" t="s">
        <v>160</v>
      </c>
      <c r="AU213" s="19" t="s">
        <v>160</v>
      </c>
      <c r="AZ213" s="42"/>
      <c r="BA213" s="42"/>
      <c r="BB213" s="42"/>
      <c r="BC213" s="42"/>
      <c r="BD213" s="42"/>
      <c r="BE213" s="42"/>
    </row>
    <row r="214" spans="1:57" x14ac:dyDescent="0.25">
      <c r="A214" s="9" t="s">
        <v>706</v>
      </c>
      <c r="B214" s="38">
        <v>11</v>
      </c>
      <c r="C214" s="39" t="s">
        <v>888</v>
      </c>
      <c r="D214" s="62" t="s">
        <v>152</v>
      </c>
      <c r="E214" s="3">
        <f>60+53/60+56/3600</f>
        <v>60.898888888888891</v>
      </c>
      <c r="F214" s="3">
        <f>18+36/60+33/3600</f>
        <v>18.609166666666667</v>
      </c>
      <c r="G214" s="25"/>
      <c r="H214" s="9" t="s">
        <v>150</v>
      </c>
      <c r="I214" s="7" t="s">
        <v>8</v>
      </c>
      <c r="J214" s="7" t="s">
        <v>8</v>
      </c>
      <c r="K214" s="9" t="s">
        <v>951</v>
      </c>
      <c r="L214" s="7" t="s">
        <v>2686</v>
      </c>
      <c r="M214" s="7" t="s">
        <v>2653</v>
      </c>
      <c r="N214" s="19" t="s">
        <v>1702</v>
      </c>
      <c r="P214" s="19" t="s">
        <v>160</v>
      </c>
      <c r="S214" s="19" t="s">
        <v>160</v>
      </c>
      <c r="T214" s="19" t="s">
        <v>160</v>
      </c>
      <c r="X214" s="19" t="s">
        <v>160</v>
      </c>
      <c r="Y214" s="19" t="s">
        <v>160</v>
      </c>
      <c r="AN214" s="19" t="s">
        <v>160</v>
      </c>
      <c r="AO214" s="19" t="s">
        <v>160</v>
      </c>
      <c r="AT214" s="19" t="s">
        <v>160</v>
      </c>
      <c r="AU214" s="19" t="s">
        <v>160</v>
      </c>
      <c r="BB214" s="19"/>
      <c r="BC214" s="19"/>
      <c r="BD214" s="19"/>
      <c r="BE214" s="19"/>
    </row>
    <row r="215" spans="1:57" x14ac:dyDescent="0.25">
      <c r="A215" s="9" t="s">
        <v>8</v>
      </c>
      <c r="B215" s="26">
        <v>35052</v>
      </c>
      <c r="C215" s="24" t="s">
        <v>1069</v>
      </c>
      <c r="D215" s="24" t="s">
        <v>1687</v>
      </c>
      <c r="E215" s="25">
        <f>60+53/60</f>
        <v>60.883333333333333</v>
      </c>
      <c r="F215" s="25">
        <f>20+45/60</f>
        <v>20.75</v>
      </c>
      <c r="G215" s="9"/>
      <c r="H215" s="9" t="s">
        <v>150</v>
      </c>
      <c r="I215" s="9" t="s">
        <v>8</v>
      </c>
      <c r="J215" s="7" t="s">
        <v>8</v>
      </c>
      <c r="K215" s="10" t="s">
        <v>951</v>
      </c>
      <c r="L215" s="7" t="s">
        <v>2044</v>
      </c>
      <c r="M215" s="7" t="s">
        <v>717</v>
      </c>
      <c r="N215" s="42">
        <v>1989</v>
      </c>
      <c r="O215" s="42"/>
      <c r="P215" s="42" t="s">
        <v>160</v>
      </c>
      <c r="S215" s="42" t="s">
        <v>160</v>
      </c>
      <c r="T215" s="19" t="s">
        <v>160</v>
      </c>
      <c r="U215" s="42"/>
      <c r="AN215" s="19" t="s">
        <v>160</v>
      </c>
      <c r="BB215" s="19"/>
      <c r="BC215" s="19"/>
      <c r="BD215" s="19"/>
      <c r="BE215" s="19"/>
    </row>
    <row r="216" spans="1:57" x14ac:dyDescent="0.25">
      <c r="A216" s="9" t="s">
        <v>8</v>
      </c>
      <c r="B216" s="26">
        <v>35015</v>
      </c>
      <c r="C216" s="24" t="s">
        <v>1052</v>
      </c>
      <c r="D216" t="s">
        <v>1053</v>
      </c>
      <c r="E216" s="25">
        <f>57+10/60</f>
        <v>57.166666666666664</v>
      </c>
      <c r="F216" s="25">
        <f>11+40/60</f>
        <v>11.666666666666666</v>
      </c>
      <c r="G216" s="9"/>
      <c r="H216" s="9" t="s">
        <v>150</v>
      </c>
      <c r="I216" s="9" t="s">
        <v>8</v>
      </c>
      <c r="J216" s="7" t="s">
        <v>8</v>
      </c>
      <c r="K216" s="10" t="s">
        <v>953</v>
      </c>
      <c r="L216" s="7" t="s">
        <v>2685</v>
      </c>
      <c r="M216" s="7" t="s">
        <v>717</v>
      </c>
      <c r="N216" s="42" t="s">
        <v>1334</v>
      </c>
      <c r="O216" s="42"/>
      <c r="P216" s="42"/>
      <c r="S216" s="19" t="s">
        <v>160</v>
      </c>
      <c r="T216" s="19" t="s">
        <v>160</v>
      </c>
      <c r="U216" s="42"/>
      <c r="X216" s="19" t="s">
        <v>160</v>
      </c>
      <c r="Z216" s="19" t="s">
        <v>160</v>
      </c>
      <c r="AL216" s="19" t="s">
        <v>160</v>
      </c>
      <c r="AR216" s="19" t="s">
        <v>160</v>
      </c>
      <c r="AT216" s="19" t="s">
        <v>160</v>
      </c>
      <c r="BB216" s="19"/>
      <c r="BC216" s="19"/>
      <c r="BD216" s="19"/>
      <c r="BE216" s="19"/>
    </row>
    <row r="217" spans="1:57" x14ac:dyDescent="0.25">
      <c r="A217" s="9" t="s">
        <v>8</v>
      </c>
      <c r="B217" s="26">
        <v>35068</v>
      </c>
      <c r="C217" s="24" t="s">
        <v>1084</v>
      </c>
      <c r="D217" s="24" t="s">
        <v>1052</v>
      </c>
      <c r="E217" s="3">
        <v>57.2164</v>
      </c>
      <c r="F217" s="3">
        <v>11.8308</v>
      </c>
      <c r="G217" s="9"/>
      <c r="H217" s="9" t="s">
        <v>150</v>
      </c>
      <c r="I217" s="9" t="s">
        <v>8</v>
      </c>
      <c r="J217" s="7" t="s">
        <v>8</v>
      </c>
      <c r="K217" s="10" t="s">
        <v>951</v>
      </c>
      <c r="L217" s="7" t="s">
        <v>2049</v>
      </c>
      <c r="M217" s="7" t="s">
        <v>717</v>
      </c>
      <c r="N217" s="42" t="s">
        <v>1349</v>
      </c>
      <c r="O217" s="42"/>
      <c r="P217" s="42" t="s">
        <v>160</v>
      </c>
      <c r="S217" s="42" t="s">
        <v>160</v>
      </c>
      <c r="T217" s="19" t="s">
        <v>160</v>
      </c>
      <c r="U217" s="42"/>
      <c r="X217" s="19" t="s">
        <v>160</v>
      </c>
      <c r="AL217" s="19" t="s">
        <v>160</v>
      </c>
      <c r="AN217" s="19" t="s">
        <v>160</v>
      </c>
      <c r="BB217" s="19"/>
      <c r="BC217" s="19"/>
      <c r="BD217" s="19"/>
      <c r="BE217" s="19"/>
    </row>
    <row r="218" spans="1:57" x14ac:dyDescent="0.25">
      <c r="A218" s="6" t="s">
        <v>8</v>
      </c>
      <c r="B218" s="9">
        <v>71130</v>
      </c>
      <c r="C218" s="9" t="s">
        <v>2289</v>
      </c>
      <c r="D218" s="9" t="s">
        <v>1052</v>
      </c>
      <c r="E218" s="3">
        <v>57.216999999999999</v>
      </c>
      <c r="F218" s="3">
        <v>11.855600000000001</v>
      </c>
      <c r="G218" s="9">
        <v>15</v>
      </c>
      <c r="H218" s="9" t="s">
        <v>150</v>
      </c>
      <c r="I218" s="6" t="s">
        <v>8</v>
      </c>
      <c r="J218" s="21" t="s">
        <v>8</v>
      </c>
      <c r="K218" s="3" t="s">
        <v>5</v>
      </c>
      <c r="L218" s="5" t="s">
        <v>2043</v>
      </c>
      <c r="M218" s="7" t="s">
        <v>717</v>
      </c>
      <c r="N218" s="19" t="s">
        <v>2381</v>
      </c>
      <c r="P218" s="19" t="s">
        <v>160</v>
      </c>
      <c r="AR218" s="19" t="s">
        <v>160</v>
      </c>
      <c r="BB218" s="19"/>
      <c r="BC218" s="19"/>
      <c r="BD218" s="19"/>
      <c r="BE218" s="19"/>
    </row>
    <row r="219" spans="1:57" x14ac:dyDescent="0.25">
      <c r="A219" s="9" t="s">
        <v>707</v>
      </c>
      <c r="B219" s="137" t="s">
        <v>244</v>
      </c>
      <c r="C219" s="23" t="s">
        <v>842</v>
      </c>
      <c r="D219" s="40" t="s">
        <v>245</v>
      </c>
      <c r="E219" s="46" t="s">
        <v>2091</v>
      </c>
      <c r="F219" s="46" t="s">
        <v>2092</v>
      </c>
      <c r="G219" s="40"/>
      <c r="H219" s="9" t="s">
        <v>150</v>
      </c>
      <c r="I219" s="41" t="s">
        <v>169</v>
      </c>
      <c r="J219" s="41" t="s">
        <v>169</v>
      </c>
      <c r="K219" s="40" t="s">
        <v>952</v>
      </c>
      <c r="L219" s="41" t="s">
        <v>2046</v>
      </c>
      <c r="M219" s="7" t="s">
        <v>2653</v>
      </c>
      <c r="N219" s="42" t="s">
        <v>1108</v>
      </c>
      <c r="O219" s="42" t="s">
        <v>160</v>
      </c>
      <c r="P219" s="42" t="s">
        <v>160</v>
      </c>
      <c r="Q219" s="19" t="s">
        <v>1671</v>
      </c>
      <c r="U219" s="19">
        <v>3</v>
      </c>
      <c r="V219" s="42" t="s">
        <v>160</v>
      </c>
      <c r="W219" s="42" t="s">
        <v>160</v>
      </c>
      <c r="X219" s="42" t="s">
        <v>160</v>
      </c>
      <c r="Y219" s="42" t="s">
        <v>160</v>
      </c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 t="s">
        <v>160</v>
      </c>
      <c r="AM219" s="42" t="s">
        <v>160</v>
      </c>
      <c r="AN219" s="42"/>
      <c r="AO219" s="42"/>
      <c r="AP219" s="42"/>
      <c r="AQ219" s="42"/>
      <c r="AR219" s="42"/>
      <c r="AS219" s="42"/>
      <c r="AZ219" s="42"/>
      <c r="BA219" s="42"/>
      <c r="BB219" s="42"/>
      <c r="BC219" s="42"/>
      <c r="BD219" s="42"/>
      <c r="BE219" s="42"/>
    </row>
    <row r="220" spans="1:57" s="94" customFormat="1" x14ac:dyDescent="0.25">
      <c r="A220" s="105" t="s">
        <v>2773</v>
      </c>
      <c r="B220" s="139" t="s">
        <v>2779</v>
      </c>
      <c r="C220" s="110" t="s">
        <v>842</v>
      </c>
      <c r="D220" s="153" t="s">
        <v>24</v>
      </c>
      <c r="E220" s="82">
        <f>55+33/60+39.53/3600</f>
        <v>55.560980555555552</v>
      </c>
      <c r="F220" s="82">
        <f>12+48/60+34.35/3600</f>
        <v>12.809541666666668</v>
      </c>
      <c r="G220" s="81"/>
      <c r="H220" s="105" t="s">
        <v>150</v>
      </c>
      <c r="I220" s="105" t="s">
        <v>169</v>
      </c>
      <c r="J220" s="105" t="s">
        <v>169</v>
      </c>
      <c r="K220" s="105" t="s">
        <v>952</v>
      </c>
      <c r="L220" s="105" t="s">
        <v>2046</v>
      </c>
      <c r="M220" s="105" t="s">
        <v>2653</v>
      </c>
      <c r="N220" s="106" t="s">
        <v>1108</v>
      </c>
      <c r="O220" s="106" t="s">
        <v>160</v>
      </c>
      <c r="P220" s="106" t="s">
        <v>160</v>
      </c>
      <c r="Q220" s="108" t="s">
        <v>1671</v>
      </c>
      <c r="R220" s="108"/>
      <c r="S220" s="108"/>
      <c r="T220" s="108"/>
      <c r="U220" s="106">
        <v>3</v>
      </c>
      <c r="V220" s="103" t="s">
        <v>160</v>
      </c>
      <c r="W220" s="103" t="s">
        <v>160</v>
      </c>
      <c r="X220" s="103" t="s">
        <v>160</v>
      </c>
      <c r="Y220" s="103" t="s">
        <v>160</v>
      </c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 t="s">
        <v>160</v>
      </c>
      <c r="AM220" s="103" t="s">
        <v>160</v>
      </c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  <c r="BD220" s="103"/>
      <c r="BE220" s="103"/>
    </row>
    <row r="221" spans="1:57" x14ac:dyDescent="0.25">
      <c r="A221" s="7" t="s">
        <v>8</v>
      </c>
      <c r="B221" s="142" t="s">
        <v>2868</v>
      </c>
      <c r="C221" s="23" t="s">
        <v>842</v>
      </c>
      <c r="D221" s="24" t="s">
        <v>768</v>
      </c>
      <c r="E221" s="193">
        <v>55.561</v>
      </c>
      <c r="F221" s="193">
        <v>12.8095</v>
      </c>
      <c r="G221" s="43"/>
      <c r="H221" s="7" t="s">
        <v>150</v>
      </c>
      <c r="I221" s="7" t="s">
        <v>169</v>
      </c>
      <c r="J221" s="7" t="s">
        <v>169</v>
      </c>
      <c r="K221" s="7" t="s">
        <v>952</v>
      </c>
      <c r="L221" s="7" t="s">
        <v>2046</v>
      </c>
      <c r="M221" s="7" t="s">
        <v>2653</v>
      </c>
      <c r="N221" s="42" t="s">
        <v>1108</v>
      </c>
      <c r="O221" s="42" t="s">
        <v>160</v>
      </c>
      <c r="P221" s="42" t="s">
        <v>160</v>
      </c>
      <c r="Q221" s="19" t="s">
        <v>1671</v>
      </c>
      <c r="U221" s="42">
        <v>3</v>
      </c>
      <c r="V221" s="20" t="s">
        <v>160</v>
      </c>
      <c r="W221" s="20" t="s">
        <v>160</v>
      </c>
      <c r="X221" s="20" t="s">
        <v>160</v>
      </c>
      <c r="Y221" s="20" t="s">
        <v>160</v>
      </c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 t="s">
        <v>160</v>
      </c>
      <c r="AM221" s="20" t="s">
        <v>160</v>
      </c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</row>
    <row r="222" spans="1:57" x14ac:dyDescent="0.25">
      <c r="A222" s="9" t="s">
        <v>706</v>
      </c>
      <c r="B222" s="140">
        <v>91</v>
      </c>
      <c r="C222" s="23" t="s">
        <v>842</v>
      </c>
      <c r="D222" s="62" t="s">
        <v>24</v>
      </c>
      <c r="E222" s="5">
        <f>55+33/60+40/3600</f>
        <v>55.56111111111111</v>
      </c>
      <c r="F222" s="5">
        <f>12+48/60+34/3600</f>
        <v>12.809444444444445</v>
      </c>
      <c r="G222" s="43"/>
      <c r="H222" s="9" t="s">
        <v>150</v>
      </c>
      <c r="I222" s="7" t="s">
        <v>169</v>
      </c>
      <c r="J222" s="7" t="s">
        <v>169</v>
      </c>
      <c r="K222" s="9" t="s">
        <v>952</v>
      </c>
      <c r="L222" s="7" t="s">
        <v>2046</v>
      </c>
      <c r="M222" s="7" t="s">
        <v>2653</v>
      </c>
      <c r="N222" s="42" t="s">
        <v>1108</v>
      </c>
      <c r="O222" s="42" t="s">
        <v>160</v>
      </c>
      <c r="P222" s="42" t="s">
        <v>160</v>
      </c>
      <c r="Q222" s="19" t="s">
        <v>1671</v>
      </c>
      <c r="U222" s="19">
        <v>3</v>
      </c>
      <c r="V222" s="19" t="s">
        <v>160</v>
      </c>
      <c r="W222" s="19" t="s">
        <v>160</v>
      </c>
      <c r="X222" s="19" t="s">
        <v>160</v>
      </c>
      <c r="Y222" s="19" t="s">
        <v>160</v>
      </c>
      <c r="AL222" s="19" t="s">
        <v>160</v>
      </c>
      <c r="AM222" s="19" t="s">
        <v>160</v>
      </c>
      <c r="BB222" s="19"/>
      <c r="BC222" s="19"/>
      <c r="BD222" s="19"/>
      <c r="BE222" s="19"/>
    </row>
    <row r="223" spans="1:57" x14ac:dyDescent="0.25">
      <c r="A223" s="9" t="s">
        <v>707</v>
      </c>
      <c r="B223" s="137" t="s">
        <v>246</v>
      </c>
      <c r="C223" s="23" t="s">
        <v>843</v>
      </c>
      <c r="D223" s="40" t="s">
        <v>247</v>
      </c>
      <c r="E223" s="46" t="s">
        <v>2093</v>
      </c>
      <c r="F223" s="46" t="s">
        <v>2094</v>
      </c>
      <c r="G223" s="40"/>
      <c r="H223" s="9" t="s">
        <v>150</v>
      </c>
      <c r="I223" s="41" t="s">
        <v>169</v>
      </c>
      <c r="J223" s="41" t="s">
        <v>169</v>
      </c>
      <c r="K223" s="40" t="s">
        <v>952</v>
      </c>
      <c r="L223" s="41" t="s">
        <v>2047</v>
      </c>
      <c r="M223" s="7" t="s">
        <v>2653</v>
      </c>
      <c r="N223" s="19" t="s">
        <v>1108</v>
      </c>
      <c r="O223" s="42" t="s">
        <v>160</v>
      </c>
      <c r="P223" s="19" t="s">
        <v>160</v>
      </c>
      <c r="Q223" s="19" t="s">
        <v>1672</v>
      </c>
      <c r="U223" s="19">
        <v>3</v>
      </c>
      <c r="V223" s="42" t="s">
        <v>160</v>
      </c>
      <c r="W223" s="42" t="s">
        <v>160</v>
      </c>
      <c r="X223" s="42" t="s">
        <v>160</v>
      </c>
      <c r="Y223" s="42" t="s">
        <v>160</v>
      </c>
      <c r="Z223" s="42" t="s">
        <v>160</v>
      </c>
      <c r="AA223" s="42" t="s">
        <v>160</v>
      </c>
      <c r="AB223" s="42" t="s">
        <v>160</v>
      </c>
      <c r="AC223" s="42" t="s">
        <v>160</v>
      </c>
      <c r="AD223" s="42"/>
      <c r="AE223" s="42"/>
      <c r="AF223" s="42"/>
      <c r="AG223" s="42"/>
      <c r="AH223" s="42"/>
      <c r="AI223" s="42"/>
      <c r="AJ223" s="42"/>
      <c r="AK223" s="42"/>
      <c r="AL223" s="42" t="s">
        <v>160</v>
      </c>
      <c r="AM223" s="42" t="s">
        <v>160</v>
      </c>
      <c r="AN223" s="42"/>
      <c r="AO223" s="42"/>
      <c r="AP223" s="42"/>
      <c r="AQ223" s="42"/>
      <c r="AR223" s="42"/>
      <c r="AS223" s="42"/>
      <c r="AZ223" s="42"/>
      <c r="BA223" s="42"/>
      <c r="BB223" s="42"/>
      <c r="BC223" s="42"/>
      <c r="BD223" s="42"/>
      <c r="BE223" s="42"/>
    </row>
    <row r="224" spans="1:57" s="94" customFormat="1" x14ac:dyDescent="0.25">
      <c r="A224" s="105" t="s">
        <v>2773</v>
      </c>
      <c r="B224" s="139" t="s">
        <v>2782</v>
      </c>
      <c r="C224" s="110" t="s">
        <v>843</v>
      </c>
      <c r="D224" s="153" t="s">
        <v>25</v>
      </c>
      <c r="E224" s="82">
        <f>55+35/60+21.76/3600</f>
        <v>55.589377777777777</v>
      </c>
      <c r="F224" s="82">
        <f>12+50/60+40.11/3600</f>
        <v>12.844475000000001</v>
      </c>
      <c r="G224" s="81"/>
      <c r="H224" s="105" t="s">
        <v>150</v>
      </c>
      <c r="I224" s="105" t="s">
        <v>169</v>
      </c>
      <c r="J224" s="105" t="s">
        <v>169</v>
      </c>
      <c r="K224" s="105" t="s">
        <v>952</v>
      </c>
      <c r="L224" s="105" t="s">
        <v>2047</v>
      </c>
      <c r="M224" s="105" t="s">
        <v>2653</v>
      </c>
      <c r="N224" s="106" t="s">
        <v>1108</v>
      </c>
      <c r="O224" s="106" t="s">
        <v>160</v>
      </c>
      <c r="P224" s="106" t="s">
        <v>160</v>
      </c>
      <c r="Q224" s="108" t="s">
        <v>1672</v>
      </c>
      <c r="R224" s="108"/>
      <c r="S224" s="108"/>
      <c r="T224" s="108"/>
      <c r="U224" s="106">
        <v>3</v>
      </c>
      <c r="V224" s="103" t="s">
        <v>160</v>
      </c>
      <c r="W224" s="103" t="s">
        <v>160</v>
      </c>
      <c r="X224" s="103" t="s">
        <v>160</v>
      </c>
      <c r="Y224" s="103" t="s">
        <v>160</v>
      </c>
      <c r="Z224" s="103" t="s">
        <v>160</v>
      </c>
      <c r="AA224" s="103" t="s">
        <v>160</v>
      </c>
      <c r="AB224" s="103" t="s">
        <v>160</v>
      </c>
      <c r="AC224" s="103" t="s">
        <v>160</v>
      </c>
      <c r="AD224" s="103"/>
      <c r="AE224" s="103"/>
      <c r="AF224" s="103"/>
      <c r="AG224" s="103"/>
      <c r="AH224" s="103"/>
      <c r="AI224" s="103"/>
      <c r="AJ224" s="103"/>
      <c r="AK224" s="103"/>
      <c r="AL224" s="103" t="s">
        <v>160</v>
      </c>
      <c r="AM224" s="103" t="s">
        <v>160</v>
      </c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  <c r="BD224" s="103"/>
      <c r="BE224" s="103"/>
    </row>
    <row r="225" spans="1:57" x14ac:dyDescent="0.25">
      <c r="A225" s="7" t="s">
        <v>8</v>
      </c>
      <c r="B225" s="142" t="s">
        <v>2869</v>
      </c>
      <c r="C225" s="23" t="s">
        <v>843</v>
      </c>
      <c r="D225" s="24" t="s">
        <v>769</v>
      </c>
      <c r="E225" s="193">
        <v>55.589399999999998</v>
      </c>
      <c r="F225" s="193">
        <v>12.8445</v>
      </c>
      <c r="G225" s="43"/>
      <c r="H225" s="7" t="s">
        <v>150</v>
      </c>
      <c r="I225" s="7" t="s">
        <v>169</v>
      </c>
      <c r="J225" s="7" t="s">
        <v>169</v>
      </c>
      <c r="K225" s="7" t="s">
        <v>952</v>
      </c>
      <c r="L225" s="7" t="s">
        <v>2047</v>
      </c>
      <c r="M225" s="7" t="s">
        <v>2653</v>
      </c>
      <c r="N225" s="42" t="s">
        <v>1108</v>
      </c>
      <c r="O225" s="42" t="s">
        <v>160</v>
      </c>
      <c r="P225" s="42" t="s">
        <v>160</v>
      </c>
      <c r="Q225" s="19" t="s">
        <v>1672</v>
      </c>
      <c r="U225" s="42">
        <v>3</v>
      </c>
      <c r="V225" s="20" t="s">
        <v>160</v>
      </c>
      <c r="W225" s="20" t="s">
        <v>160</v>
      </c>
      <c r="X225" s="20" t="s">
        <v>160</v>
      </c>
      <c r="Y225" s="20" t="s">
        <v>160</v>
      </c>
      <c r="Z225" s="20" t="s">
        <v>160</v>
      </c>
      <c r="AA225" s="20" t="s">
        <v>160</v>
      </c>
      <c r="AB225" s="20" t="s">
        <v>160</v>
      </c>
      <c r="AC225" s="20" t="s">
        <v>160</v>
      </c>
      <c r="AD225" s="20"/>
      <c r="AE225" s="20"/>
      <c r="AF225" s="20"/>
      <c r="AG225" s="20"/>
      <c r="AH225" s="20"/>
      <c r="AI225" s="20"/>
      <c r="AJ225" s="20"/>
      <c r="AK225" s="20"/>
      <c r="AL225" s="20" t="s">
        <v>160</v>
      </c>
      <c r="AM225" s="20" t="s">
        <v>160</v>
      </c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</row>
    <row r="226" spans="1:57" x14ac:dyDescent="0.25">
      <c r="A226" s="9" t="s">
        <v>706</v>
      </c>
      <c r="B226" s="140">
        <v>86</v>
      </c>
      <c r="C226" s="23" t="s">
        <v>843</v>
      </c>
      <c r="D226" s="62" t="s">
        <v>25</v>
      </c>
      <c r="E226" s="5">
        <f>55+35/60+22/3600</f>
        <v>55.589444444444446</v>
      </c>
      <c r="F226" s="5">
        <f>12+50/60+40/3600</f>
        <v>12.844444444444445</v>
      </c>
      <c r="G226" s="43"/>
      <c r="H226" s="9" t="s">
        <v>150</v>
      </c>
      <c r="I226" s="7" t="s">
        <v>169</v>
      </c>
      <c r="J226" s="7" t="s">
        <v>169</v>
      </c>
      <c r="K226" s="9" t="s">
        <v>952</v>
      </c>
      <c r="L226" s="7" t="s">
        <v>2047</v>
      </c>
      <c r="M226" s="7" t="s">
        <v>2653</v>
      </c>
      <c r="N226" s="42" t="s">
        <v>1108</v>
      </c>
      <c r="O226" s="42" t="s">
        <v>160</v>
      </c>
      <c r="P226" s="42" t="s">
        <v>160</v>
      </c>
      <c r="Q226" s="19" t="s">
        <v>1672</v>
      </c>
      <c r="U226" s="19">
        <v>3</v>
      </c>
      <c r="V226" s="19" t="s">
        <v>160</v>
      </c>
      <c r="W226" s="19" t="s">
        <v>160</v>
      </c>
      <c r="X226" s="19" t="s">
        <v>160</v>
      </c>
      <c r="Y226" s="19" t="s">
        <v>160</v>
      </c>
      <c r="Z226" s="19" t="s">
        <v>160</v>
      </c>
      <c r="AA226" s="19" t="s">
        <v>160</v>
      </c>
      <c r="AB226" s="19" t="s">
        <v>160</v>
      </c>
      <c r="AC226" s="19" t="s">
        <v>160</v>
      </c>
      <c r="AL226" s="19" t="s">
        <v>160</v>
      </c>
      <c r="AM226" s="19" t="s">
        <v>160</v>
      </c>
      <c r="BB226" s="19"/>
      <c r="BC226" s="19"/>
      <c r="BD226" s="19"/>
      <c r="BE226" s="19"/>
    </row>
    <row r="227" spans="1:57" x14ac:dyDescent="0.25">
      <c r="A227" s="9" t="s">
        <v>8</v>
      </c>
      <c r="B227" s="26">
        <v>33047</v>
      </c>
      <c r="C227" s="24" t="s">
        <v>1021</v>
      </c>
      <c r="D227" s="24" t="s">
        <v>1022</v>
      </c>
      <c r="E227" s="25">
        <f>55+35/60+29.17/3600</f>
        <v>55.591436111111115</v>
      </c>
      <c r="F227" s="25">
        <f>12+50/60+39.59/3600</f>
        <v>12.844330555555556</v>
      </c>
      <c r="G227" s="55"/>
      <c r="H227" s="9" t="s">
        <v>150</v>
      </c>
      <c r="I227" s="24" t="s">
        <v>8</v>
      </c>
      <c r="J227" s="24" t="s">
        <v>8</v>
      </c>
      <c r="K227" s="9" t="s">
        <v>951</v>
      </c>
      <c r="L227" s="7" t="s">
        <v>2033</v>
      </c>
      <c r="M227" s="7" t="s">
        <v>2653</v>
      </c>
      <c r="N227" s="42" t="s">
        <v>1135</v>
      </c>
      <c r="O227" s="42"/>
      <c r="P227" s="42" t="s">
        <v>160</v>
      </c>
      <c r="S227" s="19" t="s">
        <v>160</v>
      </c>
      <c r="T227" s="19" t="s">
        <v>160</v>
      </c>
      <c r="U227" s="42"/>
      <c r="X227" s="19" t="s">
        <v>160</v>
      </c>
      <c r="Z227" s="19" t="s">
        <v>160</v>
      </c>
      <c r="AB227" s="19" t="s">
        <v>160</v>
      </c>
      <c r="AC227" s="19" t="s">
        <v>160</v>
      </c>
      <c r="BB227" s="19"/>
      <c r="BC227" s="19"/>
      <c r="BD227" s="19"/>
      <c r="BE227" s="19"/>
    </row>
    <row r="228" spans="1:57" s="94" customFormat="1" x14ac:dyDescent="0.25">
      <c r="A228" s="98" t="s">
        <v>2773</v>
      </c>
      <c r="B228" s="135">
        <v>2097</v>
      </c>
      <c r="C228" s="98" t="s">
        <v>889</v>
      </c>
      <c r="D228" s="98" t="s">
        <v>1235</v>
      </c>
      <c r="E228" s="189">
        <f>55+35/60+24/3600</f>
        <v>55.59</v>
      </c>
      <c r="F228" s="189">
        <f>12+50/60+24/3600</f>
        <v>12.84</v>
      </c>
      <c r="G228" s="101"/>
      <c r="H228" s="98" t="s">
        <v>150</v>
      </c>
      <c r="I228" s="98" t="s">
        <v>8</v>
      </c>
      <c r="J228" s="102" t="s">
        <v>8</v>
      </c>
      <c r="K228" s="98" t="s">
        <v>6</v>
      </c>
      <c r="L228" s="102" t="s">
        <v>2030</v>
      </c>
      <c r="M228" s="102" t="s">
        <v>717</v>
      </c>
      <c r="N228" s="104" t="s">
        <v>1313</v>
      </c>
      <c r="O228" s="104"/>
      <c r="P228" s="104"/>
      <c r="Q228" s="103" t="s">
        <v>1673</v>
      </c>
      <c r="R228" s="103"/>
      <c r="S228" s="103"/>
      <c r="T228" s="103"/>
      <c r="U228" s="104">
        <v>4</v>
      </c>
      <c r="V228" s="103" t="s">
        <v>160</v>
      </c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  <c r="BD228" s="103"/>
      <c r="BE228" s="103"/>
    </row>
    <row r="229" spans="1:57" x14ac:dyDescent="0.25">
      <c r="A229" s="10" t="s">
        <v>8</v>
      </c>
      <c r="B229" s="155">
        <v>2097</v>
      </c>
      <c r="C229" s="10" t="s">
        <v>889</v>
      </c>
      <c r="D229" s="10" t="s">
        <v>1235</v>
      </c>
      <c r="E229" s="195">
        <v>55.59</v>
      </c>
      <c r="F229" s="195">
        <v>12.84</v>
      </c>
      <c r="G229" s="30"/>
      <c r="H229" s="10" t="s">
        <v>150</v>
      </c>
      <c r="I229" s="10" t="s">
        <v>8</v>
      </c>
      <c r="J229" s="24" t="s">
        <v>8</v>
      </c>
      <c r="K229" s="10" t="s">
        <v>6</v>
      </c>
      <c r="L229" s="24" t="s">
        <v>2030</v>
      </c>
      <c r="M229" s="24" t="s">
        <v>717</v>
      </c>
      <c r="N229" s="22" t="s">
        <v>1313</v>
      </c>
      <c r="O229" s="22"/>
      <c r="P229" s="22"/>
      <c r="Q229" s="20" t="s">
        <v>1673</v>
      </c>
      <c r="R229" s="20"/>
      <c r="S229" s="20"/>
      <c r="T229" s="20"/>
      <c r="U229" s="22">
        <v>4</v>
      </c>
      <c r="V229" s="20" t="s">
        <v>160</v>
      </c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</row>
    <row r="230" spans="1:57" x14ac:dyDescent="0.25">
      <c r="A230" s="9" t="s">
        <v>707</v>
      </c>
      <c r="B230" s="39" t="s">
        <v>248</v>
      </c>
      <c r="C230" s="39" t="s">
        <v>2272</v>
      </c>
      <c r="D230" s="40" t="s">
        <v>249</v>
      </c>
      <c r="E230" s="46" t="s">
        <v>2194</v>
      </c>
      <c r="F230" s="46" t="s">
        <v>2193</v>
      </c>
      <c r="G230" s="40"/>
      <c r="H230" s="9" t="s">
        <v>150</v>
      </c>
      <c r="I230" s="41" t="s">
        <v>169</v>
      </c>
      <c r="J230" s="41" t="s">
        <v>169</v>
      </c>
      <c r="K230" s="40" t="s">
        <v>5</v>
      </c>
      <c r="L230" s="41" t="s">
        <v>2056</v>
      </c>
      <c r="M230" s="7" t="s">
        <v>2653</v>
      </c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 t="s">
        <v>160</v>
      </c>
      <c r="AS230" s="42" t="s">
        <v>160</v>
      </c>
      <c r="AZ230" s="42" t="s">
        <v>160</v>
      </c>
      <c r="BA230" s="42" t="s">
        <v>160</v>
      </c>
      <c r="BB230" s="42"/>
      <c r="BC230" s="42"/>
      <c r="BD230" s="42"/>
      <c r="BE230" s="42"/>
    </row>
    <row r="231" spans="1:57" s="94" customFormat="1" x14ac:dyDescent="0.25">
      <c r="A231" s="114" t="s">
        <v>2773</v>
      </c>
      <c r="B231" s="110" t="s">
        <v>2848</v>
      </c>
      <c r="C231" s="115" t="s">
        <v>2272</v>
      </c>
      <c r="D231" s="153" t="s">
        <v>26</v>
      </c>
      <c r="E231" s="93">
        <f>55+31/60+5.502/3600</f>
        <v>55.518194999999999</v>
      </c>
      <c r="F231" s="93">
        <f>12+44/60+41.1648/3600</f>
        <v>12.744767999999999</v>
      </c>
      <c r="G231" s="93"/>
      <c r="H231" s="94" t="s">
        <v>150</v>
      </c>
      <c r="I231" s="102" t="s">
        <v>169</v>
      </c>
      <c r="J231" s="102" t="s">
        <v>169</v>
      </c>
      <c r="K231" s="102" t="s">
        <v>5</v>
      </c>
      <c r="L231" s="102" t="s">
        <v>2056</v>
      </c>
      <c r="M231" s="105" t="s">
        <v>2653</v>
      </c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  <c r="AH231" s="108"/>
      <c r="AI231" s="108"/>
      <c r="AJ231" s="108"/>
      <c r="AK231" s="108"/>
      <c r="AL231" s="108"/>
      <c r="AM231" s="108"/>
      <c r="AN231" s="108"/>
      <c r="AO231" s="108"/>
      <c r="AP231" s="108"/>
      <c r="AQ231" s="108"/>
      <c r="AR231" s="108" t="s">
        <v>160</v>
      </c>
      <c r="AS231" s="108" t="s">
        <v>160</v>
      </c>
      <c r="AT231" s="108"/>
      <c r="AU231" s="108"/>
      <c r="AV231" s="108"/>
      <c r="AW231" s="108"/>
      <c r="AX231" s="108"/>
      <c r="AY231" s="108"/>
      <c r="AZ231" s="108" t="s">
        <v>160</v>
      </c>
      <c r="BA231" s="108" t="s">
        <v>160</v>
      </c>
      <c r="BB231" s="108"/>
      <c r="BC231" s="108"/>
      <c r="BD231" s="108"/>
      <c r="BE231" s="108"/>
    </row>
    <row r="232" spans="1:57" x14ac:dyDescent="0.25">
      <c r="A232" s="6" t="s">
        <v>8</v>
      </c>
      <c r="B232" s="23">
        <v>35122</v>
      </c>
      <c r="C232" s="39" t="s">
        <v>2272</v>
      </c>
      <c r="D232" s="24" t="s">
        <v>802</v>
      </c>
      <c r="E232" s="5">
        <f>55+31/60+5.502/3600</f>
        <v>55.518194999999999</v>
      </c>
      <c r="F232" s="5">
        <f>12+44/60+41.1648/3600</f>
        <v>12.744767999999999</v>
      </c>
      <c r="G232" s="5"/>
      <c r="H232" s="9" t="s">
        <v>150</v>
      </c>
      <c r="I232" s="24" t="s">
        <v>169</v>
      </c>
      <c r="J232" s="24" t="s">
        <v>169</v>
      </c>
      <c r="K232" s="24" t="s">
        <v>5</v>
      </c>
      <c r="L232" s="24" t="s">
        <v>2056</v>
      </c>
      <c r="M232" s="7" t="s">
        <v>2653</v>
      </c>
      <c r="AR232" s="19" t="s">
        <v>160</v>
      </c>
      <c r="AS232" s="19" t="s">
        <v>160</v>
      </c>
      <c r="AZ232" s="19" t="s">
        <v>160</v>
      </c>
      <c r="BA232" s="19" t="s">
        <v>160</v>
      </c>
      <c r="BB232" s="19"/>
      <c r="BC232" s="19"/>
      <c r="BD232" s="19"/>
      <c r="BE232" s="19"/>
    </row>
    <row r="233" spans="1:57" x14ac:dyDescent="0.25">
      <c r="A233" s="9" t="s">
        <v>706</v>
      </c>
      <c r="B233" s="38">
        <v>111</v>
      </c>
      <c r="C233" s="39" t="s">
        <v>2272</v>
      </c>
      <c r="D233" s="62" t="s">
        <v>26</v>
      </c>
      <c r="E233" s="3">
        <f>55+31/60+6/3600</f>
        <v>55.518333333333331</v>
      </c>
      <c r="F233" s="3">
        <f>12+44/60+41/3600</f>
        <v>12.744722222222221</v>
      </c>
      <c r="G233" s="5"/>
      <c r="H233" s="9" t="s">
        <v>150</v>
      </c>
      <c r="I233" s="7" t="s">
        <v>169</v>
      </c>
      <c r="J233" s="7" t="s">
        <v>169</v>
      </c>
      <c r="K233" s="9" t="s">
        <v>5</v>
      </c>
      <c r="L233" s="7" t="s">
        <v>2056</v>
      </c>
      <c r="M233" s="7" t="s">
        <v>2653</v>
      </c>
      <c r="AR233" s="19" t="s">
        <v>160</v>
      </c>
      <c r="AS233" s="19" t="s">
        <v>160</v>
      </c>
      <c r="AZ233" s="19" t="s">
        <v>160</v>
      </c>
      <c r="BA233" s="19" t="s">
        <v>160</v>
      </c>
      <c r="BB233" s="19"/>
      <c r="BC233" s="19"/>
      <c r="BD233" s="19"/>
      <c r="BE233" s="19"/>
    </row>
    <row r="234" spans="1:57" x14ac:dyDescent="0.25">
      <c r="A234" s="9" t="s">
        <v>707</v>
      </c>
      <c r="B234" s="39" t="s">
        <v>250</v>
      </c>
      <c r="C234" s="39" t="s">
        <v>890</v>
      </c>
      <c r="D234" s="40" t="s">
        <v>251</v>
      </c>
      <c r="E234" s="46" t="s">
        <v>2195</v>
      </c>
      <c r="F234" s="46" t="s">
        <v>252</v>
      </c>
      <c r="G234" s="40"/>
      <c r="H234" s="10" t="s">
        <v>148</v>
      </c>
      <c r="I234" s="41" t="s">
        <v>169</v>
      </c>
      <c r="J234" s="41" t="s">
        <v>169</v>
      </c>
      <c r="K234" s="40" t="s">
        <v>5</v>
      </c>
      <c r="L234" s="41" t="s">
        <v>2687</v>
      </c>
      <c r="M234" s="7" t="s">
        <v>2653</v>
      </c>
      <c r="N234" s="19" t="s">
        <v>1113</v>
      </c>
      <c r="O234" s="19" t="s">
        <v>160</v>
      </c>
      <c r="P234" s="19" t="s">
        <v>160</v>
      </c>
      <c r="V234" s="42"/>
      <c r="W234" s="42"/>
      <c r="X234" s="42" t="s">
        <v>160</v>
      </c>
      <c r="Y234" s="42" t="s">
        <v>160</v>
      </c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 t="s">
        <v>160</v>
      </c>
      <c r="AS234" s="42" t="s">
        <v>160</v>
      </c>
      <c r="AT234" s="19" t="s">
        <v>160</v>
      </c>
      <c r="AU234" s="19" t="s">
        <v>160</v>
      </c>
      <c r="AV234" s="19" t="s">
        <v>160</v>
      </c>
      <c r="AW234" s="19" t="s">
        <v>160</v>
      </c>
      <c r="AX234" s="19" t="s">
        <v>160</v>
      </c>
      <c r="AY234" s="19" t="s">
        <v>160</v>
      </c>
      <c r="AZ234" s="42" t="s">
        <v>160</v>
      </c>
      <c r="BA234" s="42" t="s">
        <v>160</v>
      </c>
      <c r="BB234" s="42"/>
      <c r="BC234" s="42"/>
      <c r="BD234" s="42"/>
      <c r="BE234" s="42"/>
    </row>
    <row r="235" spans="1:57" s="94" customFormat="1" x14ac:dyDescent="0.25">
      <c r="A235" s="98" t="s">
        <v>2773</v>
      </c>
      <c r="B235" s="98" t="s">
        <v>2849</v>
      </c>
      <c r="C235" s="98" t="s">
        <v>890</v>
      </c>
      <c r="D235" s="100" t="s">
        <v>890</v>
      </c>
      <c r="E235" s="150">
        <f>59+1/60+52/3600</f>
        <v>59.031111111111109</v>
      </c>
      <c r="F235" s="150">
        <f>12+44/60+18/3600</f>
        <v>12.738333333333333</v>
      </c>
      <c r="G235" s="101"/>
      <c r="H235" s="98" t="s">
        <v>148</v>
      </c>
      <c r="I235" s="105" t="s">
        <v>169</v>
      </c>
      <c r="J235" s="113" t="s">
        <v>169</v>
      </c>
      <c r="K235" s="112" t="s">
        <v>2615</v>
      </c>
      <c r="L235" s="113" t="s">
        <v>2687</v>
      </c>
      <c r="M235" s="102" t="s">
        <v>2653</v>
      </c>
      <c r="N235" s="104" t="s">
        <v>1113</v>
      </c>
      <c r="O235" s="104" t="s">
        <v>160</v>
      </c>
      <c r="P235" s="104" t="s">
        <v>160</v>
      </c>
      <c r="Q235" s="108"/>
      <c r="R235" s="103"/>
      <c r="S235" s="103"/>
      <c r="T235" s="103"/>
      <c r="U235" s="104"/>
      <c r="V235" s="103"/>
      <c r="W235" s="103"/>
      <c r="X235" s="103" t="s">
        <v>160</v>
      </c>
      <c r="Y235" s="103" t="s">
        <v>160</v>
      </c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 t="s">
        <v>160</v>
      </c>
      <c r="AS235" s="103" t="s">
        <v>160</v>
      </c>
      <c r="AT235" s="103" t="s">
        <v>160</v>
      </c>
      <c r="AU235" s="103" t="s">
        <v>160</v>
      </c>
      <c r="AV235" s="103" t="s">
        <v>160</v>
      </c>
      <c r="AW235" s="103" t="s">
        <v>160</v>
      </c>
      <c r="AX235" s="103" t="s">
        <v>160</v>
      </c>
      <c r="AY235" s="103" t="s">
        <v>160</v>
      </c>
      <c r="AZ235" s="103" t="s">
        <v>160</v>
      </c>
      <c r="BA235" s="103" t="s">
        <v>160</v>
      </c>
      <c r="BB235" s="103"/>
      <c r="BC235" s="103"/>
      <c r="BD235" s="103"/>
      <c r="BE235" s="103"/>
    </row>
    <row r="236" spans="1:57" x14ac:dyDescent="0.25">
      <c r="A236" s="10" t="s">
        <v>8</v>
      </c>
      <c r="B236" s="10">
        <v>35234</v>
      </c>
      <c r="C236" s="10" t="s">
        <v>890</v>
      </c>
      <c r="D236" s="76" t="s">
        <v>890</v>
      </c>
      <c r="E236" s="47">
        <f>59+1/60+52/3600</f>
        <v>59.031111111111109</v>
      </c>
      <c r="F236" s="47">
        <f>12+44/60+18/3600</f>
        <v>12.738333333333333</v>
      </c>
      <c r="G236" s="30"/>
      <c r="H236" s="10" t="s">
        <v>148</v>
      </c>
      <c r="I236" s="7" t="s">
        <v>169</v>
      </c>
      <c r="J236" s="41" t="s">
        <v>169</v>
      </c>
      <c r="K236" s="40" t="s">
        <v>2615</v>
      </c>
      <c r="L236" s="41" t="s">
        <v>2687</v>
      </c>
      <c r="M236" s="24" t="s">
        <v>2653</v>
      </c>
      <c r="N236" s="22" t="s">
        <v>1113</v>
      </c>
      <c r="O236" s="22" t="s">
        <v>160</v>
      </c>
      <c r="P236" s="22" t="s">
        <v>160</v>
      </c>
      <c r="R236" s="20"/>
      <c r="S236" s="20"/>
      <c r="T236" s="20"/>
      <c r="U236" s="22"/>
      <c r="V236" s="20"/>
      <c r="W236" s="20"/>
      <c r="X236" s="20" t="s">
        <v>160</v>
      </c>
      <c r="Y236" s="20" t="s">
        <v>160</v>
      </c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 t="s">
        <v>160</v>
      </c>
      <c r="AS236" s="20" t="s">
        <v>160</v>
      </c>
      <c r="AT236" s="20" t="s">
        <v>160</v>
      </c>
      <c r="AU236" s="20" t="s">
        <v>160</v>
      </c>
      <c r="AV236" s="20" t="s">
        <v>160</v>
      </c>
      <c r="AW236" s="20" t="s">
        <v>160</v>
      </c>
      <c r="AX236" s="20" t="s">
        <v>160</v>
      </c>
      <c r="AY236" s="20" t="s">
        <v>160</v>
      </c>
      <c r="AZ236" s="20" t="s">
        <v>160</v>
      </c>
      <c r="BA236" s="20" t="s">
        <v>160</v>
      </c>
      <c r="BB236" s="20"/>
      <c r="BC236" s="20"/>
      <c r="BD236" s="20"/>
      <c r="BE236" s="20"/>
    </row>
    <row r="237" spans="1:57" x14ac:dyDescent="0.25">
      <c r="A237" s="10" t="s">
        <v>706</v>
      </c>
      <c r="B237" s="10">
        <v>186</v>
      </c>
      <c r="C237" s="10" t="s">
        <v>890</v>
      </c>
      <c r="D237" s="31" t="s">
        <v>890</v>
      </c>
      <c r="E237" s="47">
        <f>59+1/60+52/3600</f>
        <v>59.031111111111109</v>
      </c>
      <c r="F237" s="47">
        <f>12+44/60+18/3600</f>
        <v>12.738333333333333</v>
      </c>
      <c r="G237" s="30"/>
      <c r="H237" s="10" t="s">
        <v>148</v>
      </c>
      <c r="I237" s="41" t="s">
        <v>169</v>
      </c>
      <c r="J237" s="41" t="s">
        <v>169</v>
      </c>
      <c r="K237" s="40" t="s">
        <v>2615</v>
      </c>
      <c r="L237" s="41" t="s">
        <v>2687</v>
      </c>
      <c r="M237" s="24" t="s">
        <v>2653</v>
      </c>
      <c r="N237" s="22" t="s">
        <v>1113</v>
      </c>
      <c r="O237" s="22" t="s">
        <v>160</v>
      </c>
      <c r="P237" s="22" t="s">
        <v>160</v>
      </c>
      <c r="R237" s="20"/>
      <c r="S237" s="20"/>
      <c r="T237" s="20"/>
      <c r="U237" s="22"/>
      <c r="V237" s="20"/>
      <c r="W237" s="20"/>
      <c r="X237" s="20" t="s">
        <v>160</v>
      </c>
      <c r="Y237" s="20" t="s">
        <v>160</v>
      </c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 t="s">
        <v>160</v>
      </c>
      <c r="AS237" s="20" t="s">
        <v>160</v>
      </c>
      <c r="AT237" s="20" t="s">
        <v>160</v>
      </c>
      <c r="AU237" s="20" t="s">
        <v>160</v>
      </c>
      <c r="AV237" s="20" t="s">
        <v>160</v>
      </c>
      <c r="AW237" s="20" t="s">
        <v>160</v>
      </c>
      <c r="AX237" s="20" t="s">
        <v>160</v>
      </c>
      <c r="AY237" s="20" t="s">
        <v>160</v>
      </c>
      <c r="AZ237" s="20" t="s">
        <v>160</v>
      </c>
      <c r="BA237" s="20" t="s">
        <v>160</v>
      </c>
      <c r="BB237" s="20"/>
      <c r="BC237" s="20"/>
      <c r="BD237" s="20"/>
      <c r="BE237" s="20"/>
    </row>
    <row r="238" spans="1:57" x14ac:dyDescent="0.25">
      <c r="A238" s="9" t="s">
        <v>707</v>
      </c>
      <c r="B238" s="137" t="s">
        <v>255</v>
      </c>
      <c r="C238" s="23" t="s">
        <v>155</v>
      </c>
      <c r="D238" s="40" t="s">
        <v>256</v>
      </c>
      <c r="E238" s="46" t="s">
        <v>2197</v>
      </c>
      <c r="F238" s="46" t="s">
        <v>2191</v>
      </c>
      <c r="G238" s="40"/>
      <c r="H238" s="9" t="s">
        <v>150</v>
      </c>
      <c r="I238" s="41" t="s">
        <v>8</v>
      </c>
      <c r="J238" s="41" t="s">
        <v>8</v>
      </c>
      <c r="K238" s="40" t="s">
        <v>6</v>
      </c>
      <c r="L238" s="41" t="s">
        <v>2031</v>
      </c>
      <c r="M238" s="7" t="s">
        <v>2653</v>
      </c>
      <c r="N238" s="42" t="s">
        <v>1122</v>
      </c>
      <c r="O238" s="42"/>
      <c r="P238" s="42" t="s">
        <v>160</v>
      </c>
      <c r="Q238" s="44" t="s">
        <v>1173</v>
      </c>
      <c r="R238" s="44" t="s">
        <v>1589</v>
      </c>
      <c r="S238" s="19" t="s">
        <v>160</v>
      </c>
      <c r="T238" s="19" t="s">
        <v>160</v>
      </c>
      <c r="U238" s="19">
        <v>1</v>
      </c>
      <c r="V238" s="42" t="s">
        <v>160</v>
      </c>
      <c r="W238" s="42" t="s">
        <v>160</v>
      </c>
      <c r="X238" s="42" t="s">
        <v>160</v>
      </c>
      <c r="Y238" s="42" t="s">
        <v>160</v>
      </c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Z238" s="42"/>
      <c r="BA238" s="42"/>
      <c r="BB238" s="42"/>
      <c r="BC238" s="42"/>
      <c r="BD238" s="42"/>
      <c r="BE238" s="42"/>
    </row>
    <row r="239" spans="1:57" x14ac:dyDescent="0.25">
      <c r="A239" s="9" t="s">
        <v>707</v>
      </c>
      <c r="B239" s="39" t="s">
        <v>253</v>
      </c>
      <c r="C239" s="45" t="s">
        <v>155</v>
      </c>
      <c r="D239" s="40" t="s">
        <v>254</v>
      </c>
      <c r="E239" s="46" t="s">
        <v>2196</v>
      </c>
      <c r="F239" s="46" t="s">
        <v>2191</v>
      </c>
      <c r="G239" s="40"/>
      <c r="H239" s="9" t="s">
        <v>150</v>
      </c>
      <c r="I239" s="41" t="s">
        <v>169</v>
      </c>
      <c r="J239" s="41" t="s">
        <v>169</v>
      </c>
      <c r="K239" s="40" t="s">
        <v>5</v>
      </c>
      <c r="L239" s="41" t="s">
        <v>2043</v>
      </c>
      <c r="M239" s="7" t="s">
        <v>2653</v>
      </c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 t="s">
        <v>160</v>
      </c>
      <c r="AS239" s="42" t="s">
        <v>160</v>
      </c>
      <c r="AZ239" s="42"/>
      <c r="BA239" s="42"/>
      <c r="BB239" s="42"/>
      <c r="BC239" s="42"/>
      <c r="BD239" s="42"/>
      <c r="BE239" s="42"/>
    </row>
    <row r="240" spans="1:57" x14ac:dyDescent="0.25">
      <c r="A240" s="53" t="s">
        <v>2763</v>
      </c>
      <c r="B240" s="143">
        <v>2179</v>
      </c>
      <c r="C240" s="85" t="s">
        <v>155</v>
      </c>
      <c r="D240" s="85" t="s">
        <v>155</v>
      </c>
      <c r="E240" s="35">
        <v>60.408611000000001</v>
      </c>
      <c r="F240" s="35">
        <v>18.210833000000001</v>
      </c>
      <c r="G240" s="85"/>
      <c r="H240" s="7" t="s">
        <v>150</v>
      </c>
      <c r="I240" s="14" t="s">
        <v>8</v>
      </c>
      <c r="J240" s="85" t="s">
        <v>8</v>
      </c>
      <c r="K240" s="7" t="s">
        <v>6</v>
      </c>
      <c r="L240" s="7" t="s">
        <v>2031</v>
      </c>
      <c r="M240" s="7" t="s">
        <v>2653</v>
      </c>
      <c r="N240" s="42" t="s">
        <v>1122</v>
      </c>
      <c r="O240" s="42"/>
      <c r="P240" s="42" t="s">
        <v>160</v>
      </c>
      <c r="Q240" s="44" t="s">
        <v>1173</v>
      </c>
      <c r="R240" s="44" t="s">
        <v>1589</v>
      </c>
      <c r="S240" s="19" t="s">
        <v>160</v>
      </c>
      <c r="T240" s="19" t="s">
        <v>160</v>
      </c>
      <c r="U240" s="42">
        <v>1</v>
      </c>
      <c r="V240" s="20" t="s">
        <v>160</v>
      </c>
      <c r="W240" s="20" t="s">
        <v>160</v>
      </c>
      <c r="X240" s="20" t="s">
        <v>160</v>
      </c>
      <c r="Y240" s="20" t="s">
        <v>160</v>
      </c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</row>
    <row r="241" spans="1:57" s="94" customFormat="1" x14ac:dyDescent="0.25">
      <c r="A241" s="105" t="s">
        <v>2773</v>
      </c>
      <c r="B241" s="139" t="s">
        <v>2783</v>
      </c>
      <c r="C241" s="110" t="s">
        <v>155</v>
      </c>
      <c r="D241" s="153" t="s">
        <v>155</v>
      </c>
      <c r="E241" s="81">
        <f>60+24/60+30.6/3600</f>
        <v>60.408499999999997</v>
      </c>
      <c r="F241" s="81">
        <f>18+12/60+39.06/3600</f>
        <v>18.210850000000001</v>
      </c>
      <c r="G241" s="81"/>
      <c r="H241" s="105" t="s">
        <v>150</v>
      </c>
      <c r="I241" s="105" t="s">
        <v>8</v>
      </c>
      <c r="J241" s="105" t="s">
        <v>8</v>
      </c>
      <c r="K241" s="105" t="s">
        <v>6</v>
      </c>
      <c r="L241" s="105" t="s">
        <v>2031</v>
      </c>
      <c r="M241" s="105" t="s">
        <v>2653</v>
      </c>
      <c r="N241" s="106" t="s">
        <v>1122</v>
      </c>
      <c r="O241" s="106"/>
      <c r="P241" s="106" t="s">
        <v>160</v>
      </c>
      <c r="Q241" s="107" t="s">
        <v>1173</v>
      </c>
      <c r="R241" s="107" t="s">
        <v>1589</v>
      </c>
      <c r="S241" s="108" t="s">
        <v>160</v>
      </c>
      <c r="T241" s="108" t="s">
        <v>160</v>
      </c>
      <c r="U241" s="106">
        <v>1</v>
      </c>
      <c r="V241" s="103" t="s">
        <v>160</v>
      </c>
      <c r="W241" s="103" t="s">
        <v>160</v>
      </c>
      <c r="X241" s="103" t="s">
        <v>160</v>
      </c>
      <c r="Y241" s="103" t="s">
        <v>160</v>
      </c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  <c r="BD241" s="103"/>
      <c r="BE241" s="103"/>
    </row>
    <row r="242" spans="1:57" x14ac:dyDescent="0.25">
      <c r="A242" s="7" t="s">
        <v>8</v>
      </c>
      <c r="B242" s="142" t="s">
        <v>2870</v>
      </c>
      <c r="C242" s="23" t="s">
        <v>155</v>
      </c>
      <c r="D242" t="s">
        <v>155</v>
      </c>
      <c r="E242" s="193">
        <v>60.408499999999997</v>
      </c>
      <c r="F242" s="193">
        <v>18.210899999999999</v>
      </c>
      <c r="G242" s="43"/>
      <c r="H242" s="7" t="s">
        <v>150</v>
      </c>
      <c r="I242" s="7" t="s">
        <v>8</v>
      </c>
      <c r="J242" s="7" t="s">
        <v>8</v>
      </c>
      <c r="K242" s="7" t="s">
        <v>6</v>
      </c>
      <c r="L242" s="7" t="s">
        <v>2031</v>
      </c>
      <c r="M242" s="7" t="s">
        <v>2653</v>
      </c>
      <c r="N242" s="42" t="s">
        <v>1122</v>
      </c>
      <c r="O242" s="42"/>
      <c r="P242" s="42" t="s">
        <v>160</v>
      </c>
      <c r="Q242" s="44" t="s">
        <v>1173</v>
      </c>
      <c r="R242" s="44" t="s">
        <v>1589</v>
      </c>
      <c r="S242" s="19" t="s">
        <v>160</v>
      </c>
      <c r="T242" s="19" t="s">
        <v>160</v>
      </c>
      <c r="U242" s="42">
        <v>1</v>
      </c>
      <c r="V242" s="20" t="s">
        <v>160</v>
      </c>
      <c r="W242" s="20" t="s">
        <v>160</v>
      </c>
      <c r="X242" s="20" t="s">
        <v>160</v>
      </c>
      <c r="Y242" s="20" t="s">
        <v>160</v>
      </c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</row>
    <row r="243" spans="1:57" x14ac:dyDescent="0.25">
      <c r="A243" s="9" t="s">
        <v>706</v>
      </c>
      <c r="B243" s="140">
        <v>12</v>
      </c>
      <c r="C243" s="23" t="s">
        <v>155</v>
      </c>
      <c r="D243" s="62" t="s">
        <v>155</v>
      </c>
      <c r="E243" s="35">
        <f>60+24/60+31/3600</f>
        <v>60.408611111111107</v>
      </c>
      <c r="F243" s="35">
        <f>18+12/60+39/3600</f>
        <v>18.210833333333333</v>
      </c>
      <c r="G243" s="43"/>
      <c r="H243" s="9" t="s">
        <v>150</v>
      </c>
      <c r="I243" s="7" t="s">
        <v>708</v>
      </c>
      <c r="J243" s="7" t="s">
        <v>708</v>
      </c>
      <c r="K243" s="9" t="s">
        <v>40</v>
      </c>
      <c r="L243" s="7" t="s">
        <v>2055</v>
      </c>
      <c r="M243" s="7" t="s">
        <v>2653</v>
      </c>
      <c r="N243" s="42" t="s">
        <v>1122</v>
      </c>
      <c r="O243" s="42"/>
      <c r="P243" s="42" t="s">
        <v>160</v>
      </c>
      <c r="Q243" s="44" t="s">
        <v>1173</v>
      </c>
      <c r="R243" s="44" t="s">
        <v>1589</v>
      </c>
      <c r="S243" s="19" t="s">
        <v>160</v>
      </c>
      <c r="T243" s="19" t="s">
        <v>160</v>
      </c>
      <c r="U243" s="19">
        <v>1</v>
      </c>
      <c r="V243" s="19" t="s">
        <v>160</v>
      </c>
      <c r="W243" s="19" t="s">
        <v>160</v>
      </c>
      <c r="X243" s="19" t="s">
        <v>160</v>
      </c>
      <c r="Y243" s="19" t="s">
        <v>160</v>
      </c>
      <c r="AR243" s="19" t="s">
        <v>160</v>
      </c>
      <c r="AS243" s="19" t="s">
        <v>160</v>
      </c>
      <c r="BB243" s="19"/>
      <c r="BC243" s="19"/>
      <c r="BD243" s="19"/>
      <c r="BE243" s="19"/>
    </row>
    <row r="244" spans="1:57" x14ac:dyDescent="0.25">
      <c r="A244" s="6" t="s">
        <v>707</v>
      </c>
      <c r="B244" s="26" t="s">
        <v>2617</v>
      </c>
      <c r="C244" s="26" t="s">
        <v>711</v>
      </c>
      <c r="D244" s="40" t="s">
        <v>2616</v>
      </c>
      <c r="E244" s="25" t="s">
        <v>16</v>
      </c>
      <c r="F244" s="25" t="s">
        <v>16</v>
      </c>
      <c r="G244" s="25"/>
      <c r="H244" s="9" t="s">
        <v>150</v>
      </c>
      <c r="I244" s="7" t="s">
        <v>708</v>
      </c>
      <c r="J244" s="7" t="s">
        <v>8</v>
      </c>
      <c r="K244" s="10" t="s">
        <v>124</v>
      </c>
      <c r="L244" s="24" t="s">
        <v>2682</v>
      </c>
      <c r="M244" s="7" t="s">
        <v>2653</v>
      </c>
      <c r="N244" s="19" t="s">
        <v>1114</v>
      </c>
      <c r="P244" s="19" t="s">
        <v>160</v>
      </c>
      <c r="S244" s="19" t="s">
        <v>160</v>
      </c>
      <c r="T244" s="19" t="s">
        <v>160</v>
      </c>
      <c r="X244" s="19" t="s">
        <v>160</v>
      </c>
      <c r="Y244" s="19" t="s">
        <v>160</v>
      </c>
      <c r="AR244" s="19" t="s">
        <v>160</v>
      </c>
      <c r="AS244" s="19" t="s">
        <v>160</v>
      </c>
      <c r="AT244" s="19" t="s">
        <v>160</v>
      </c>
      <c r="AU244" s="19" t="s">
        <v>160</v>
      </c>
      <c r="AV244" s="19" t="s">
        <v>160</v>
      </c>
      <c r="AW244" s="19" t="s">
        <v>160</v>
      </c>
      <c r="AX244" s="19" t="s">
        <v>160</v>
      </c>
      <c r="AY244" s="19" t="s">
        <v>160</v>
      </c>
      <c r="BB244" s="19"/>
      <c r="BC244" s="19"/>
      <c r="BD244" s="19"/>
      <c r="BE244" s="19"/>
    </row>
    <row r="245" spans="1:57" s="94" customFormat="1" x14ac:dyDescent="0.25">
      <c r="A245" s="114" t="s">
        <v>2773</v>
      </c>
      <c r="B245" s="99" t="s">
        <v>2960</v>
      </c>
      <c r="C245" s="99" t="s">
        <v>711</v>
      </c>
      <c r="D245" s="153" t="s">
        <v>27</v>
      </c>
      <c r="E245" s="84" t="s">
        <v>16</v>
      </c>
      <c r="F245" s="84" t="s">
        <v>16</v>
      </c>
      <c r="G245" s="84"/>
      <c r="H245" s="94" t="s">
        <v>150</v>
      </c>
      <c r="I245" s="105" t="s">
        <v>708</v>
      </c>
      <c r="J245" s="105" t="s">
        <v>8</v>
      </c>
      <c r="K245" s="98" t="s">
        <v>124</v>
      </c>
      <c r="L245" s="102" t="s">
        <v>2682</v>
      </c>
      <c r="M245" s="105" t="s">
        <v>2653</v>
      </c>
      <c r="N245" s="108" t="s">
        <v>1114</v>
      </c>
      <c r="O245" s="108" t="s">
        <v>160</v>
      </c>
      <c r="P245" s="108" t="s">
        <v>160</v>
      </c>
      <c r="Q245" s="108"/>
      <c r="R245" s="108"/>
      <c r="S245" s="108" t="s">
        <v>160</v>
      </c>
      <c r="T245" s="108" t="s">
        <v>160</v>
      </c>
      <c r="U245" s="108"/>
      <c r="V245" s="108"/>
      <c r="W245" s="108"/>
      <c r="X245" s="108" t="s">
        <v>160</v>
      </c>
      <c r="Y245" s="108" t="s">
        <v>160</v>
      </c>
      <c r="Z245" s="108"/>
      <c r="AA245" s="108"/>
      <c r="AB245" s="108"/>
      <c r="AC245" s="108"/>
      <c r="AD245" s="108"/>
      <c r="AE245" s="108"/>
      <c r="AF245" s="108"/>
      <c r="AG245" s="108"/>
      <c r="AH245" s="108"/>
      <c r="AI245" s="108"/>
      <c r="AJ245" s="108"/>
      <c r="AK245" s="108"/>
      <c r="AL245" s="108"/>
      <c r="AM245" s="108"/>
      <c r="AN245" s="108"/>
      <c r="AO245" s="108"/>
      <c r="AP245" s="108"/>
      <c r="AQ245" s="108"/>
      <c r="AR245" s="108" t="s">
        <v>160</v>
      </c>
      <c r="AS245" s="108" t="s">
        <v>160</v>
      </c>
      <c r="AT245" s="108" t="s">
        <v>160</v>
      </c>
      <c r="AU245" s="108" t="s">
        <v>160</v>
      </c>
      <c r="AV245" s="108" t="s">
        <v>160</v>
      </c>
      <c r="AW245" s="108" t="s">
        <v>160</v>
      </c>
      <c r="AX245" s="108" t="s">
        <v>160</v>
      </c>
      <c r="AY245" s="108" t="s">
        <v>160</v>
      </c>
      <c r="AZ245" s="108"/>
      <c r="BA245" s="108"/>
      <c r="BB245" s="108"/>
      <c r="BC245" s="108"/>
      <c r="BD245" s="108"/>
      <c r="BE245" s="108"/>
    </row>
    <row r="246" spans="1:57" x14ac:dyDescent="0.25">
      <c r="A246" s="6" t="s">
        <v>8</v>
      </c>
      <c r="B246" s="26">
        <v>38005</v>
      </c>
      <c r="C246" s="26" t="s">
        <v>711</v>
      </c>
      <c r="D246" s="31" t="s">
        <v>711</v>
      </c>
      <c r="E246" s="25" t="s">
        <v>16</v>
      </c>
      <c r="F246" s="25" t="s">
        <v>16</v>
      </c>
      <c r="G246" s="25"/>
      <c r="H246" s="9" t="s">
        <v>150</v>
      </c>
      <c r="I246" s="7" t="s">
        <v>708</v>
      </c>
      <c r="J246" s="7" t="s">
        <v>8</v>
      </c>
      <c r="K246" s="10" t="s">
        <v>124</v>
      </c>
      <c r="L246" s="24" t="s">
        <v>2682</v>
      </c>
      <c r="M246" s="7" t="s">
        <v>2653</v>
      </c>
      <c r="N246" s="19" t="s">
        <v>1114</v>
      </c>
      <c r="O246" s="19" t="s">
        <v>160</v>
      </c>
      <c r="P246" s="19" t="s">
        <v>160</v>
      </c>
      <c r="S246" s="19" t="s">
        <v>160</v>
      </c>
      <c r="T246" s="19" t="s">
        <v>160</v>
      </c>
      <c r="X246" s="19" t="s">
        <v>160</v>
      </c>
      <c r="Y246" s="19" t="s">
        <v>160</v>
      </c>
      <c r="AR246" s="19" t="s">
        <v>160</v>
      </c>
      <c r="AS246" s="19" t="s">
        <v>160</v>
      </c>
      <c r="AT246" s="19" t="s">
        <v>160</v>
      </c>
      <c r="AU246" s="19" t="s">
        <v>160</v>
      </c>
      <c r="AV246" s="19" t="s">
        <v>160</v>
      </c>
      <c r="AW246" s="19" t="s">
        <v>160</v>
      </c>
      <c r="AX246" s="19" t="s">
        <v>160</v>
      </c>
      <c r="AY246" s="19" t="s">
        <v>160</v>
      </c>
      <c r="BB246" s="19"/>
      <c r="BC246" s="19"/>
      <c r="BD246" s="19"/>
      <c r="BE246" s="19"/>
    </row>
    <row r="247" spans="1:57" x14ac:dyDescent="0.25">
      <c r="A247" s="9" t="s">
        <v>706</v>
      </c>
      <c r="B247" s="38">
        <v>22</v>
      </c>
      <c r="C247" s="26" t="s">
        <v>711</v>
      </c>
      <c r="D247" s="62" t="s">
        <v>27</v>
      </c>
      <c r="E247" s="25" t="s">
        <v>16</v>
      </c>
      <c r="F247" s="25" t="s">
        <v>16</v>
      </c>
      <c r="H247" s="9" t="s">
        <v>150</v>
      </c>
      <c r="I247" s="7" t="s">
        <v>708</v>
      </c>
      <c r="J247" s="7" t="s">
        <v>8</v>
      </c>
      <c r="K247" s="9" t="s">
        <v>124</v>
      </c>
      <c r="L247" s="7" t="s">
        <v>2682</v>
      </c>
      <c r="M247" s="7" t="s">
        <v>2653</v>
      </c>
      <c r="N247" s="19" t="s">
        <v>1114</v>
      </c>
      <c r="O247" s="19" t="s">
        <v>160</v>
      </c>
      <c r="P247" s="19" t="s">
        <v>160</v>
      </c>
      <c r="S247" s="19" t="s">
        <v>160</v>
      </c>
      <c r="T247" s="19" t="s">
        <v>160</v>
      </c>
      <c r="X247" s="19" t="s">
        <v>160</v>
      </c>
      <c r="Y247" s="19" t="s">
        <v>160</v>
      </c>
      <c r="AR247" s="19" t="s">
        <v>160</v>
      </c>
      <c r="AS247" s="19" t="s">
        <v>160</v>
      </c>
      <c r="AT247" s="19" t="s">
        <v>160</v>
      </c>
      <c r="AU247" s="19" t="s">
        <v>160</v>
      </c>
      <c r="AV247" s="19" t="s">
        <v>160</v>
      </c>
      <c r="AW247" s="19" t="s">
        <v>160</v>
      </c>
      <c r="AX247" s="19" t="s">
        <v>160</v>
      </c>
      <c r="AY247" s="19" t="s">
        <v>160</v>
      </c>
      <c r="BB247" s="19"/>
      <c r="BC247" s="19"/>
      <c r="BD247" s="19"/>
      <c r="BE247" s="19"/>
    </row>
    <row r="248" spans="1:57" s="94" customFormat="1" x14ac:dyDescent="0.25">
      <c r="A248" s="9" t="s">
        <v>707</v>
      </c>
      <c r="B248" s="39" t="s">
        <v>257</v>
      </c>
      <c r="C248" s="38" t="s">
        <v>28</v>
      </c>
      <c r="D248" s="40" t="s">
        <v>258</v>
      </c>
      <c r="E248" s="57" t="s">
        <v>2189</v>
      </c>
      <c r="F248" s="57" t="s">
        <v>2190</v>
      </c>
      <c r="G248" s="52"/>
      <c r="H248" s="9" t="s">
        <v>150</v>
      </c>
      <c r="I248" s="41" t="s">
        <v>2639</v>
      </c>
      <c r="J248" s="24" t="s">
        <v>169</v>
      </c>
      <c r="K248" s="40" t="s">
        <v>5</v>
      </c>
      <c r="L248" s="41" t="s">
        <v>2043</v>
      </c>
      <c r="M248" s="7" t="s">
        <v>2653</v>
      </c>
      <c r="N248" s="19"/>
      <c r="O248" s="19"/>
      <c r="P248" s="19"/>
      <c r="Q248" s="19"/>
      <c r="R248" s="19"/>
      <c r="S248" s="19"/>
      <c r="T248" s="19"/>
      <c r="U248" s="19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 t="s">
        <v>160</v>
      </c>
      <c r="AS248" s="42" t="s">
        <v>160</v>
      </c>
      <c r="AT248" s="19"/>
      <c r="AU248" s="19"/>
      <c r="AV248" s="19"/>
      <c r="AW248" s="19"/>
      <c r="AX248" s="19"/>
      <c r="AY248" s="19"/>
      <c r="AZ248" s="42"/>
      <c r="BA248" s="42"/>
      <c r="BB248" s="42"/>
      <c r="BC248" s="42"/>
      <c r="BD248" s="42"/>
      <c r="BE248" s="42"/>
    </row>
    <row r="249" spans="1:57" x14ac:dyDescent="0.25">
      <c r="A249" s="94" t="s">
        <v>2773</v>
      </c>
      <c r="B249" s="136" t="s">
        <v>2932</v>
      </c>
      <c r="C249" s="99" t="s">
        <v>28</v>
      </c>
      <c r="D249" s="153" t="s">
        <v>28</v>
      </c>
      <c r="E249" s="120">
        <f>59+20/60+46.672/3600</f>
        <v>59.346297777777778</v>
      </c>
      <c r="F249" s="150">
        <f>18+7/60+37.47/3600</f>
        <v>18.127075000000001</v>
      </c>
      <c r="G249" s="82"/>
      <c r="H249" s="94" t="s">
        <v>150</v>
      </c>
      <c r="I249" s="113" t="s">
        <v>2639</v>
      </c>
      <c r="J249" s="102" t="s">
        <v>8</v>
      </c>
      <c r="K249" s="94" t="s">
        <v>6</v>
      </c>
      <c r="L249" s="105"/>
      <c r="M249" s="105" t="s">
        <v>2653</v>
      </c>
      <c r="N249" s="108"/>
      <c r="O249" s="108"/>
      <c r="P249" s="108"/>
      <c r="Q249" s="108"/>
      <c r="R249" s="108"/>
      <c r="S249" s="108"/>
      <c r="T249" s="108"/>
      <c r="U249" s="108">
        <v>3</v>
      </c>
      <c r="V249" s="108" t="s">
        <v>160</v>
      </c>
      <c r="W249" s="108" t="s">
        <v>160</v>
      </c>
      <c r="X249" s="108" t="s">
        <v>160</v>
      </c>
      <c r="Y249" s="108" t="s">
        <v>160</v>
      </c>
      <c r="Z249" s="108"/>
      <c r="AA249" s="108"/>
      <c r="AB249" s="108"/>
      <c r="AC249" s="108"/>
      <c r="AD249" s="108"/>
      <c r="AE249" s="108"/>
      <c r="AF249" s="108"/>
      <c r="AG249" s="108"/>
      <c r="AH249" s="108"/>
      <c r="AI249" s="108"/>
      <c r="AJ249" s="108"/>
      <c r="AK249" s="108"/>
      <c r="AL249" s="108"/>
      <c r="AM249" s="108"/>
      <c r="AN249" s="108"/>
      <c r="AO249" s="108"/>
      <c r="AP249" s="108"/>
      <c r="AQ249" s="108"/>
      <c r="AR249" s="108" t="s">
        <v>160</v>
      </c>
      <c r="AS249" s="108" t="s">
        <v>160</v>
      </c>
      <c r="AT249" s="108"/>
      <c r="AU249" s="108"/>
      <c r="AV249" s="108"/>
      <c r="AW249" s="108"/>
      <c r="AX249" s="108"/>
      <c r="AY249" s="108"/>
      <c r="AZ249" s="108"/>
      <c r="BA249" s="108"/>
      <c r="BB249" s="108"/>
      <c r="BC249" s="108"/>
      <c r="BD249" s="108"/>
      <c r="BE249" s="108"/>
    </row>
    <row r="250" spans="1:57" x14ac:dyDescent="0.25">
      <c r="A250" s="9" t="s">
        <v>8</v>
      </c>
      <c r="B250" s="144" t="s">
        <v>875</v>
      </c>
      <c r="C250" s="26" t="s">
        <v>28</v>
      </c>
      <c r="D250" s="40" t="s">
        <v>28</v>
      </c>
      <c r="E250" s="35">
        <f>59+20/60+46.672/3600</f>
        <v>59.346297777777778</v>
      </c>
      <c r="F250" s="47">
        <f>18+7/60+37.47/3600</f>
        <v>18.127075000000001</v>
      </c>
      <c r="H250" s="9" t="s">
        <v>150</v>
      </c>
      <c r="I250" s="41" t="s">
        <v>2639</v>
      </c>
      <c r="J250" s="24" t="s">
        <v>8</v>
      </c>
      <c r="K250" s="9" t="s">
        <v>6</v>
      </c>
      <c r="L250" s="7" t="s">
        <v>2055</v>
      </c>
      <c r="M250" s="7" t="s">
        <v>2653</v>
      </c>
      <c r="U250" s="19">
        <v>3</v>
      </c>
      <c r="AR250" s="19" t="s">
        <v>160</v>
      </c>
      <c r="AS250" s="19" t="s">
        <v>160</v>
      </c>
      <c r="BB250" s="19"/>
      <c r="BC250" s="19"/>
      <c r="BD250" s="19"/>
      <c r="BE250" s="19"/>
    </row>
    <row r="251" spans="1:57" x14ac:dyDescent="0.25">
      <c r="A251" s="9" t="s">
        <v>706</v>
      </c>
      <c r="B251" s="140">
        <v>140</v>
      </c>
      <c r="C251" s="38" t="s">
        <v>28</v>
      </c>
      <c r="D251" s="62" t="s">
        <v>2671</v>
      </c>
      <c r="E251" s="35">
        <f>59+20/60+47/3600</f>
        <v>59.346388888888889</v>
      </c>
      <c r="F251" s="35">
        <f>18+7/60+37/3600</f>
        <v>18.126944444444444</v>
      </c>
      <c r="G251" s="25"/>
      <c r="H251" s="9" t="s">
        <v>150</v>
      </c>
      <c r="I251" s="41" t="s">
        <v>2639</v>
      </c>
      <c r="J251" s="24" t="s">
        <v>169</v>
      </c>
      <c r="K251" s="9" t="s">
        <v>40</v>
      </c>
      <c r="L251" s="7" t="s">
        <v>2055</v>
      </c>
      <c r="M251" s="7" t="s">
        <v>2653</v>
      </c>
      <c r="U251" s="19">
        <v>3</v>
      </c>
      <c r="V251" s="19" t="s">
        <v>160</v>
      </c>
      <c r="W251" s="19" t="s">
        <v>160</v>
      </c>
      <c r="X251" s="19" t="s">
        <v>160</v>
      </c>
      <c r="Y251" s="19" t="s">
        <v>160</v>
      </c>
      <c r="AR251" s="19" t="s">
        <v>160</v>
      </c>
      <c r="AS251" s="19" t="s">
        <v>160</v>
      </c>
      <c r="BB251" s="19"/>
      <c r="BC251" s="19"/>
      <c r="BD251" s="19"/>
      <c r="BE251" s="19"/>
    </row>
    <row r="252" spans="1:57" x14ac:dyDescent="0.25">
      <c r="A252" s="9" t="s">
        <v>707</v>
      </c>
      <c r="B252" s="137" t="s">
        <v>261</v>
      </c>
      <c r="C252" s="23" t="s">
        <v>844</v>
      </c>
      <c r="D252" s="40" t="s">
        <v>262</v>
      </c>
      <c r="E252" s="46" t="s">
        <v>264</v>
      </c>
      <c r="F252" s="46" t="s">
        <v>263</v>
      </c>
      <c r="G252" s="40"/>
      <c r="H252" s="9" t="s">
        <v>150</v>
      </c>
      <c r="I252" s="41" t="s">
        <v>8</v>
      </c>
      <c r="J252" s="41" t="s">
        <v>8</v>
      </c>
      <c r="K252" s="40" t="s">
        <v>6</v>
      </c>
      <c r="L252" s="41" t="s">
        <v>2030</v>
      </c>
      <c r="M252" s="7" t="s">
        <v>2653</v>
      </c>
      <c r="N252" s="42" t="s">
        <v>1100</v>
      </c>
      <c r="O252" s="42"/>
      <c r="P252" s="42" t="s">
        <v>160</v>
      </c>
      <c r="Q252" s="44" t="s">
        <v>1098</v>
      </c>
      <c r="R252" s="44" t="s">
        <v>1590</v>
      </c>
      <c r="S252" s="19" t="s">
        <v>160</v>
      </c>
      <c r="T252" s="19" t="s">
        <v>160</v>
      </c>
      <c r="U252" s="19">
        <v>1</v>
      </c>
      <c r="V252" s="42" t="s">
        <v>160</v>
      </c>
      <c r="W252" s="42" t="s">
        <v>160</v>
      </c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Z252" s="42"/>
      <c r="BA252" s="42"/>
      <c r="BB252" s="42"/>
      <c r="BC252" s="42"/>
      <c r="BD252" s="42"/>
      <c r="BE252" s="42"/>
    </row>
    <row r="253" spans="1:57" x14ac:dyDescent="0.25">
      <c r="A253" s="53" t="s">
        <v>2763</v>
      </c>
      <c r="B253" s="143">
        <v>2055</v>
      </c>
      <c r="C253" s="85" t="s">
        <v>844</v>
      </c>
      <c r="D253" s="85" t="s">
        <v>738</v>
      </c>
      <c r="E253" s="66">
        <f>64+54/60+57/3600</f>
        <v>64.915833333333339</v>
      </c>
      <c r="F253" s="66">
        <f>21+13/60+50.016/3600</f>
        <v>21.230559999999997</v>
      </c>
      <c r="G253" s="85"/>
      <c r="H253" s="9" t="s">
        <v>150</v>
      </c>
      <c r="I253" s="14" t="s">
        <v>8</v>
      </c>
      <c r="J253" s="85" t="s">
        <v>8</v>
      </c>
      <c r="K253" s="7" t="s">
        <v>6</v>
      </c>
      <c r="L253" s="7" t="s">
        <v>2030</v>
      </c>
      <c r="M253" s="7" t="s">
        <v>2653</v>
      </c>
      <c r="N253" s="42" t="s">
        <v>1100</v>
      </c>
      <c r="O253" s="42"/>
      <c r="P253" s="42" t="s">
        <v>160</v>
      </c>
      <c r="Q253" s="44" t="s">
        <v>1098</v>
      </c>
      <c r="R253" s="44" t="s">
        <v>1590</v>
      </c>
      <c r="S253" s="19" t="s">
        <v>160</v>
      </c>
      <c r="T253" s="19" t="s">
        <v>160</v>
      </c>
      <c r="U253" s="42">
        <v>1</v>
      </c>
      <c r="V253" s="20" t="s">
        <v>160</v>
      </c>
      <c r="W253" s="20" t="s">
        <v>160</v>
      </c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</row>
    <row r="254" spans="1:57" s="94" customFormat="1" x14ac:dyDescent="0.25">
      <c r="A254" s="105" t="s">
        <v>2773</v>
      </c>
      <c r="B254" s="139" t="s">
        <v>2784</v>
      </c>
      <c r="C254" s="110" t="s">
        <v>844</v>
      </c>
      <c r="D254" s="153" t="s">
        <v>738</v>
      </c>
      <c r="E254" s="82">
        <f>64+54/60+56.3/3600</f>
        <v>64.915638888888893</v>
      </c>
      <c r="F254" s="82">
        <f>21+13/60+50.43/3600</f>
        <v>21.230674999999998</v>
      </c>
      <c r="G254" s="81"/>
      <c r="H254" s="105" t="s">
        <v>150</v>
      </c>
      <c r="I254" s="105" t="s">
        <v>8</v>
      </c>
      <c r="J254" s="105" t="s">
        <v>8</v>
      </c>
      <c r="K254" s="105" t="s">
        <v>6</v>
      </c>
      <c r="L254" s="105" t="s">
        <v>2030</v>
      </c>
      <c r="M254" s="105" t="s">
        <v>2653</v>
      </c>
      <c r="N254" s="106" t="s">
        <v>1100</v>
      </c>
      <c r="O254" s="106"/>
      <c r="P254" s="106" t="s">
        <v>160</v>
      </c>
      <c r="Q254" s="107" t="s">
        <v>1098</v>
      </c>
      <c r="R254" s="107" t="s">
        <v>1590</v>
      </c>
      <c r="S254" s="108" t="s">
        <v>160</v>
      </c>
      <c r="T254" s="108" t="s">
        <v>160</v>
      </c>
      <c r="U254" s="106">
        <v>1</v>
      </c>
      <c r="V254" s="103" t="s">
        <v>160</v>
      </c>
      <c r="W254" s="103" t="s">
        <v>160</v>
      </c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</row>
    <row r="255" spans="1:57" x14ac:dyDescent="0.25">
      <c r="A255" s="7" t="s">
        <v>8</v>
      </c>
      <c r="B255" s="142" t="s">
        <v>2871</v>
      </c>
      <c r="C255" s="23" t="s">
        <v>844</v>
      </c>
      <c r="D255" t="s">
        <v>738</v>
      </c>
      <c r="E255" s="193">
        <v>64.915700000000001</v>
      </c>
      <c r="F255" s="193">
        <v>21.230599999999999</v>
      </c>
      <c r="G255" s="43"/>
      <c r="H255" s="7" t="s">
        <v>150</v>
      </c>
      <c r="I255" s="7" t="s">
        <v>8</v>
      </c>
      <c r="J255" s="7" t="s">
        <v>8</v>
      </c>
      <c r="K255" s="7" t="s">
        <v>6</v>
      </c>
      <c r="L255" s="7" t="s">
        <v>2030</v>
      </c>
      <c r="M255" s="7" t="s">
        <v>2653</v>
      </c>
      <c r="N255" s="42" t="s">
        <v>1100</v>
      </c>
      <c r="O255" s="42"/>
      <c r="P255" s="42" t="s">
        <v>160</v>
      </c>
      <c r="Q255" s="44" t="s">
        <v>1098</v>
      </c>
      <c r="R255" s="44" t="s">
        <v>1590</v>
      </c>
      <c r="S255" s="19" t="s">
        <v>160</v>
      </c>
      <c r="T255" s="19" t="s">
        <v>160</v>
      </c>
      <c r="U255" s="42">
        <v>1</v>
      </c>
      <c r="V255" s="20" t="s">
        <v>160</v>
      </c>
      <c r="W255" s="20" t="s">
        <v>160</v>
      </c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</row>
    <row r="256" spans="1:57" x14ac:dyDescent="0.25">
      <c r="A256" s="9" t="s">
        <v>706</v>
      </c>
      <c r="B256" s="140">
        <v>158</v>
      </c>
      <c r="C256" s="23" t="s">
        <v>844</v>
      </c>
      <c r="D256" s="62" t="s">
        <v>153</v>
      </c>
      <c r="E256" s="35">
        <f>64+54/60+57/3600</f>
        <v>64.915833333333339</v>
      </c>
      <c r="F256" s="35">
        <f>21+13/60+50/3600</f>
        <v>21.230555555555554</v>
      </c>
      <c r="G256" s="43"/>
      <c r="H256" s="9" t="s">
        <v>150</v>
      </c>
      <c r="I256" s="7" t="s">
        <v>8</v>
      </c>
      <c r="J256" s="7" t="s">
        <v>8</v>
      </c>
      <c r="K256" s="9" t="s">
        <v>6</v>
      </c>
      <c r="L256" s="7" t="s">
        <v>2030</v>
      </c>
      <c r="M256" s="7" t="s">
        <v>2653</v>
      </c>
      <c r="N256" s="42" t="s">
        <v>1100</v>
      </c>
      <c r="O256" s="42"/>
      <c r="P256" s="42" t="s">
        <v>160</v>
      </c>
      <c r="Q256" s="44" t="s">
        <v>1098</v>
      </c>
      <c r="R256" s="44" t="s">
        <v>1590</v>
      </c>
      <c r="S256" s="19" t="s">
        <v>160</v>
      </c>
      <c r="T256" s="19" t="s">
        <v>160</v>
      </c>
      <c r="U256" s="19">
        <v>1</v>
      </c>
      <c r="V256" s="19" t="s">
        <v>160</v>
      </c>
      <c r="W256" s="19" t="s">
        <v>160</v>
      </c>
      <c r="BB256" s="19"/>
      <c r="BC256" s="19"/>
      <c r="BD256" s="19"/>
      <c r="BE256" s="19"/>
    </row>
    <row r="257" spans="1:57" x14ac:dyDescent="0.25">
      <c r="A257" s="7" t="s">
        <v>8</v>
      </c>
      <c r="B257" s="63">
        <v>37105</v>
      </c>
      <c r="C257" s="28" t="s">
        <v>1910</v>
      </c>
      <c r="D257" s="28" t="s">
        <v>738</v>
      </c>
      <c r="E257" s="25">
        <v>64.916700000000006</v>
      </c>
      <c r="F257" s="25">
        <v>21.25</v>
      </c>
      <c r="G257" s="5"/>
      <c r="H257" s="7" t="s">
        <v>150</v>
      </c>
      <c r="I257" s="7" t="s">
        <v>8</v>
      </c>
      <c r="J257" s="7" t="s">
        <v>8</v>
      </c>
      <c r="K257" s="6" t="s">
        <v>2455</v>
      </c>
      <c r="L257" s="7" t="s">
        <v>2027</v>
      </c>
      <c r="M257" s="28" t="s">
        <v>2653</v>
      </c>
      <c r="N257" s="19" t="s">
        <v>1131</v>
      </c>
      <c r="T257" s="7"/>
      <c r="X257" s="19" t="s">
        <v>160</v>
      </c>
      <c r="Y257" s="19" t="s">
        <v>160</v>
      </c>
      <c r="BA257" s="7"/>
      <c r="BB257" s="7"/>
      <c r="BC257" s="7"/>
      <c r="BD257" s="7"/>
      <c r="BE257" s="7"/>
    </row>
    <row r="258" spans="1:57" x14ac:dyDescent="0.25">
      <c r="A258" s="6" t="s">
        <v>8</v>
      </c>
      <c r="B258" s="9">
        <v>151550</v>
      </c>
      <c r="C258" s="9" t="s">
        <v>2273</v>
      </c>
      <c r="D258" s="9" t="s">
        <v>738</v>
      </c>
      <c r="E258" s="3">
        <v>64.911199999999994</v>
      </c>
      <c r="F258" s="3">
        <v>21.226299999999998</v>
      </c>
      <c r="G258" s="9">
        <v>10</v>
      </c>
      <c r="H258" s="9" t="s">
        <v>150</v>
      </c>
      <c r="I258" s="6" t="s">
        <v>8</v>
      </c>
      <c r="J258" s="21" t="s">
        <v>8</v>
      </c>
      <c r="K258" s="3" t="s">
        <v>5</v>
      </c>
      <c r="L258" s="5" t="s">
        <v>2680</v>
      </c>
      <c r="M258" s="7" t="s">
        <v>717</v>
      </c>
      <c r="N258" s="19" t="s">
        <v>2268</v>
      </c>
      <c r="P258" s="19" t="s">
        <v>160</v>
      </c>
      <c r="AR258" s="19" t="s">
        <v>160</v>
      </c>
      <c r="AT258" s="19" t="s">
        <v>160</v>
      </c>
      <c r="AV258" s="19" t="s">
        <v>160</v>
      </c>
      <c r="AX258" s="19" t="s">
        <v>160</v>
      </c>
      <c r="AZ258" s="19" t="s">
        <v>160</v>
      </c>
      <c r="BB258" s="19"/>
      <c r="BC258" s="19"/>
      <c r="BD258" s="19"/>
      <c r="BE258" s="19"/>
    </row>
    <row r="259" spans="1:57" x14ac:dyDescent="0.25">
      <c r="A259" s="9" t="s">
        <v>707</v>
      </c>
      <c r="B259" s="39" t="s">
        <v>259</v>
      </c>
      <c r="C259" s="39" t="s">
        <v>779</v>
      </c>
      <c r="D259" s="40" t="s">
        <v>260</v>
      </c>
      <c r="E259" s="46" t="s">
        <v>2188</v>
      </c>
      <c r="F259" s="46" t="s">
        <v>2095</v>
      </c>
      <c r="G259" s="40"/>
      <c r="H259" s="9" t="s">
        <v>150</v>
      </c>
      <c r="I259" s="41" t="s">
        <v>169</v>
      </c>
      <c r="J259" s="41" t="s">
        <v>169</v>
      </c>
      <c r="K259" s="40" t="s">
        <v>5</v>
      </c>
      <c r="L259" s="41" t="s">
        <v>2041</v>
      </c>
      <c r="M259" s="7" t="s">
        <v>2653</v>
      </c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Z259" s="42" t="s">
        <v>160</v>
      </c>
      <c r="BA259" s="42" t="s">
        <v>160</v>
      </c>
      <c r="BB259" s="42"/>
      <c r="BC259" s="42"/>
      <c r="BD259" s="42"/>
      <c r="BE259" s="42"/>
    </row>
    <row r="260" spans="1:57" s="94" customFormat="1" x14ac:dyDescent="0.25">
      <c r="A260" s="114" t="s">
        <v>2773</v>
      </c>
      <c r="B260" s="110" t="s">
        <v>2850</v>
      </c>
      <c r="C260" s="115" t="s">
        <v>779</v>
      </c>
      <c r="D260" s="153" t="s">
        <v>29</v>
      </c>
      <c r="E260" s="83">
        <f>59+39/60+49.5252/3600</f>
        <v>59.663756999999997</v>
      </c>
      <c r="F260" s="83">
        <f>18+55/60+55.1892/3600</f>
        <v>18.931997000000003</v>
      </c>
      <c r="G260" s="93"/>
      <c r="H260" s="94" t="s">
        <v>150</v>
      </c>
      <c r="I260" s="102" t="s">
        <v>169</v>
      </c>
      <c r="J260" s="102" t="s">
        <v>169</v>
      </c>
      <c r="K260" s="102" t="s">
        <v>5</v>
      </c>
      <c r="L260" s="102" t="s">
        <v>2041</v>
      </c>
      <c r="M260" s="105" t="s">
        <v>2653</v>
      </c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  <c r="AH260" s="108"/>
      <c r="AI260" s="108"/>
      <c r="AJ260" s="108"/>
      <c r="AK260" s="108"/>
      <c r="AL260" s="108"/>
      <c r="AM260" s="108"/>
      <c r="AN260" s="108"/>
      <c r="AO260" s="108"/>
      <c r="AP260" s="108"/>
      <c r="AQ260" s="108"/>
      <c r="AR260" s="108"/>
      <c r="AS260" s="108"/>
      <c r="AT260" s="108"/>
      <c r="AU260" s="108"/>
      <c r="AV260" s="108"/>
      <c r="AW260" s="108"/>
      <c r="AX260" s="108"/>
      <c r="AY260" s="108"/>
      <c r="AZ260" s="108" t="s">
        <v>160</v>
      </c>
      <c r="BA260" s="108" t="s">
        <v>160</v>
      </c>
      <c r="BB260" s="108"/>
      <c r="BC260" s="108"/>
      <c r="BD260" s="108"/>
      <c r="BE260" s="108"/>
    </row>
    <row r="261" spans="1:57" x14ac:dyDescent="0.25">
      <c r="A261" s="6" t="s">
        <v>8</v>
      </c>
      <c r="B261" s="23">
        <v>35197</v>
      </c>
      <c r="C261" s="39" t="s">
        <v>779</v>
      </c>
      <c r="D261" s="24" t="s">
        <v>779</v>
      </c>
      <c r="E261" s="52">
        <f>59+39/60+49.5252/3600</f>
        <v>59.663756999999997</v>
      </c>
      <c r="F261" s="52">
        <f>18+55/60+55.1892/3600</f>
        <v>18.931997000000003</v>
      </c>
      <c r="G261" s="5"/>
      <c r="H261" s="9" t="s">
        <v>150</v>
      </c>
      <c r="I261" s="24" t="s">
        <v>169</v>
      </c>
      <c r="J261" s="24" t="s">
        <v>169</v>
      </c>
      <c r="K261" s="24" t="s">
        <v>5</v>
      </c>
      <c r="L261" s="24" t="s">
        <v>2041</v>
      </c>
      <c r="M261" s="7" t="s">
        <v>2653</v>
      </c>
      <c r="AZ261" s="19" t="s">
        <v>160</v>
      </c>
      <c r="BA261" s="19" t="s">
        <v>160</v>
      </c>
      <c r="BB261" s="19"/>
      <c r="BC261" s="19"/>
      <c r="BD261" s="19"/>
      <c r="BE261" s="19"/>
    </row>
    <row r="262" spans="1:57" x14ac:dyDescent="0.25">
      <c r="A262" s="9" t="s">
        <v>706</v>
      </c>
      <c r="B262" s="38">
        <v>39</v>
      </c>
      <c r="C262" s="39" t="s">
        <v>779</v>
      </c>
      <c r="D262" s="62" t="s">
        <v>29</v>
      </c>
      <c r="E262" s="3">
        <f>59+39/60+50/3600</f>
        <v>59.663888888888884</v>
      </c>
      <c r="F262" s="3">
        <f>18+55/60+55/3600</f>
        <v>18.931944444444447</v>
      </c>
      <c r="G262" s="5"/>
      <c r="H262" s="9" t="s">
        <v>150</v>
      </c>
      <c r="I262" s="7" t="s">
        <v>169</v>
      </c>
      <c r="J262" s="7" t="s">
        <v>169</v>
      </c>
      <c r="K262" s="9" t="s">
        <v>5</v>
      </c>
      <c r="L262" s="7" t="s">
        <v>2041</v>
      </c>
      <c r="M262" s="7" t="s">
        <v>2653</v>
      </c>
      <c r="AZ262" s="19" t="s">
        <v>160</v>
      </c>
      <c r="BA262" s="19" t="s">
        <v>160</v>
      </c>
      <c r="BB262" s="19"/>
      <c r="BC262" s="19"/>
      <c r="BD262" s="19"/>
      <c r="BE262" s="19"/>
    </row>
    <row r="263" spans="1:57" x14ac:dyDescent="0.25">
      <c r="A263" s="9" t="s">
        <v>8</v>
      </c>
      <c r="B263" s="27">
        <v>37320</v>
      </c>
      <c r="C263" s="28" t="s">
        <v>1911</v>
      </c>
      <c r="D263" s="28" t="s">
        <v>1778</v>
      </c>
      <c r="E263" s="25">
        <v>55.666699999999999</v>
      </c>
      <c r="F263" s="25">
        <v>12.916700000000001</v>
      </c>
      <c r="H263" s="9" t="s">
        <v>150</v>
      </c>
      <c r="I263" s="6" t="s">
        <v>8</v>
      </c>
      <c r="J263" s="21" t="s">
        <v>8</v>
      </c>
      <c r="K263" s="6" t="s">
        <v>2455</v>
      </c>
      <c r="L263" s="7" t="s">
        <v>2027</v>
      </c>
      <c r="M263" s="28" t="s">
        <v>717</v>
      </c>
      <c r="N263" s="19" t="s">
        <v>1863</v>
      </c>
      <c r="T263" s="7"/>
      <c r="X263" s="19" t="s">
        <v>160</v>
      </c>
      <c r="BA263" s="7"/>
      <c r="BB263" s="7"/>
      <c r="BC263" s="7"/>
      <c r="BD263" s="7"/>
      <c r="BE263" s="7"/>
    </row>
    <row r="264" spans="1:57" x14ac:dyDescent="0.25">
      <c r="A264" s="9" t="s">
        <v>8</v>
      </c>
      <c r="B264" s="27">
        <v>37321</v>
      </c>
      <c r="C264" s="28" t="s">
        <v>1912</v>
      </c>
      <c r="D264" s="28" t="s">
        <v>1779</v>
      </c>
      <c r="E264" s="25">
        <v>55.7333</v>
      </c>
      <c r="F264" s="25">
        <v>12.683299999999999</v>
      </c>
      <c r="H264" s="9" t="s">
        <v>150</v>
      </c>
      <c r="I264" s="6" t="s">
        <v>8</v>
      </c>
      <c r="J264" s="21" t="s">
        <v>8</v>
      </c>
      <c r="K264" s="6" t="s">
        <v>2455</v>
      </c>
      <c r="L264" s="7" t="s">
        <v>2027</v>
      </c>
      <c r="M264" s="28" t="s">
        <v>717</v>
      </c>
      <c r="N264" s="19" t="s">
        <v>1859</v>
      </c>
      <c r="T264" s="7"/>
      <c r="X264" s="19" t="s">
        <v>160</v>
      </c>
      <c r="BA264" s="7"/>
      <c r="BB264" s="7"/>
      <c r="BC264" s="7"/>
      <c r="BD264" s="7"/>
      <c r="BE264" s="7"/>
    </row>
    <row r="265" spans="1:57" x14ac:dyDescent="0.25">
      <c r="A265" s="9" t="s">
        <v>8</v>
      </c>
      <c r="B265" s="27">
        <v>37343</v>
      </c>
      <c r="C265" s="28" t="s">
        <v>1913</v>
      </c>
      <c r="D265" s="28" t="s">
        <v>1799</v>
      </c>
      <c r="E265" s="25">
        <v>55.85</v>
      </c>
      <c r="F265" s="25">
        <v>12.7333</v>
      </c>
      <c r="H265" s="9" t="s">
        <v>150</v>
      </c>
      <c r="I265" s="6" t="s">
        <v>8</v>
      </c>
      <c r="J265" s="21" t="s">
        <v>8</v>
      </c>
      <c r="K265" s="6" t="s">
        <v>2455</v>
      </c>
      <c r="L265" s="7" t="s">
        <v>2027</v>
      </c>
      <c r="M265" s="28" t="s">
        <v>717</v>
      </c>
      <c r="N265" s="19" t="s">
        <v>1867</v>
      </c>
      <c r="T265" s="7"/>
      <c r="X265" s="19" t="s">
        <v>160</v>
      </c>
      <c r="BA265" s="7"/>
      <c r="BB265" s="7"/>
      <c r="BC265" s="7"/>
      <c r="BD265" s="7"/>
      <c r="BE265" s="7"/>
    </row>
    <row r="266" spans="1:57" x14ac:dyDescent="0.25">
      <c r="A266" s="9" t="s">
        <v>8</v>
      </c>
      <c r="B266" s="27">
        <v>38010</v>
      </c>
      <c r="C266" s="28" t="s">
        <v>2299</v>
      </c>
      <c r="D266" s="64" t="s">
        <v>2299</v>
      </c>
      <c r="E266" s="25" t="s">
        <v>16</v>
      </c>
      <c r="F266" s="25" t="s">
        <v>16</v>
      </c>
      <c r="H266" s="9" t="s">
        <v>150</v>
      </c>
      <c r="I266" s="6" t="s">
        <v>8</v>
      </c>
      <c r="J266" s="21" t="s">
        <v>8</v>
      </c>
      <c r="K266" s="6" t="s">
        <v>124</v>
      </c>
      <c r="L266" s="7" t="s">
        <v>2032</v>
      </c>
      <c r="M266" s="28" t="s">
        <v>717</v>
      </c>
      <c r="N266" s="19">
        <v>2008</v>
      </c>
      <c r="S266" s="19" t="s">
        <v>160</v>
      </c>
      <c r="T266" s="19" t="s">
        <v>160</v>
      </c>
      <c r="X266" s="19" t="s">
        <v>160</v>
      </c>
      <c r="Z266" s="19" t="s">
        <v>160</v>
      </c>
      <c r="BA266" s="7"/>
      <c r="BB266" s="7"/>
      <c r="BC266" s="7"/>
      <c r="BD266" s="7"/>
      <c r="BE266" s="7"/>
    </row>
    <row r="267" spans="1:57" x14ac:dyDescent="0.25">
      <c r="A267" s="9" t="s">
        <v>707</v>
      </c>
      <c r="B267" s="137" t="s">
        <v>269</v>
      </c>
      <c r="C267" s="23" t="s">
        <v>845</v>
      </c>
      <c r="D267" s="40" t="s">
        <v>270</v>
      </c>
      <c r="E267" s="46" t="s">
        <v>2096</v>
      </c>
      <c r="F267" s="46" t="s">
        <v>2097</v>
      </c>
      <c r="G267" s="52"/>
      <c r="H267" s="9" t="s">
        <v>150</v>
      </c>
      <c r="I267" s="41" t="s">
        <v>169</v>
      </c>
      <c r="J267" s="41" t="s">
        <v>169</v>
      </c>
      <c r="K267" s="40" t="s">
        <v>6</v>
      </c>
      <c r="L267" s="41" t="s">
        <v>2030</v>
      </c>
      <c r="M267" s="7" t="s">
        <v>2653</v>
      </c>
      <c r="N267" s="19" t="s">
        <v>1108</v>
      </c>
      <c r="O267" s="42" t="s">
        <v>160</v>
      </c>
      <c r="Q267" s="19" t="s">
        <v>1674</v>
      </c>
      <c r="U267" s="19">
        <v>2</v>
      </c>
      <c r="V267" s="42" t="s">
        <v>160</v>
      </c>
      <c r="W267" s="42" t="s">
        <v>160</v>
      </c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Z267" s="42"/>
      <c r="BA267" s="42"/>
      <c r="BB267" s="42"/>
      <c r="BC267" s="42"/>
      <c r="BD267" s="42"/>
      <c r="BE267" s="42"/>
    </row>
    <row r="268" spans="1:57" x14ac:dyDescent="0.25">
      <c r="A268" s="9" t="s">
        <v>707</v>
      </c>
      <c r="B268" s="39" t="s">
        <v>271</v>
      </c>
      <c r="C268" s="39" t="s">
        <v>845</v>
      </c>
      <c r="D268" s="40" t="s">
        <v>272</v>
      </c>
      <c r="E268" s="46" t="s">
        <v>2187</v>
      </c>
      <c r="F268" s="46" t="s">
        <v>2192</v>
      </c>
      <c r="G268" s="40"/>
      <c r="H268" s="9" t="s">
        <v>150</v>
      </c>
      <c r="I268" s="41" t="s">
        <v>169</v>
      </c>
      <c r="J268" s="41" t="s">
        <v>169</v>
      </c>
      <c r="K268" s="40" t="s">
        <v>5</v>
      </c>
      <c r="L268" s="41" t="s">
        <v>2043</v>
      </c>
      <c r="M268" s="7" t="s">
        <v>2653</v>
      </c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 t="s">
        <v>160</v>
      </c>
      <c r="AS268" s="42" t="s">
        <v>160</v>
      </c>
      <c r="AZ268" s="42"/>
      <c r="BA268" s="42"/>
      <c r="BB268" s="42"/>
      <c r="BC268" s="42"/>
      <c r="BD268" s="42"/>
      <c r="BE268" s="42"/>
    </row>
    <row r="269" spans="1:57" x14ac:dyDescent="0.25">
      <c r="A269" s="53" t="s">
        <v>2763</v>
      </c>
      <c r="B269" s="138">
        <v>35117</v>
      </c>
      <c r="C269" s="53" t="s">
        <v>845</v>
      </c>
      <c r="D269" s="53" t="s">
        <v>2758</v>
      </c>
      <c r="E269" s="66">
        <f>64+39/60+47.88/3600</f>
        <v>64.663300000000007</v>
      </c>
      <c r="F269" s="66">
        <f>21+19/60+0.12/3600</f>
        <v>21.316700000000001</v>
      </c>
      <c r="G269" s="54"/>
      <c r="H269" s="9" t="s">
        <v>150</v>
      </c>
      <c r="I269" s="7" t="s">
        <v>169</v>
      </c>
      <c r="J269" s="53" t="s">
        <v>169</v>
      </c>
      <c r="K269" s="7" t="s">
        <v>6</v>
      </c>
      <c r="L269" s="7" t="s">
        <v>2030</v>
      </c>
      <c r="M269" s="7" t="s">
        <v>2653</v>
      </c>
      <c r="N269" s="42" t="s">
        <v>1108</v>
      </c>
      <c r="O269" s="42" t="s">
        <v>160</v>
      </c>
      <c r="P269" s="42"/>
      <c r="Q269" s="19" t="s">
        <v>1674</v>
      </c>
      <c r="U269" s="42">
        <v>2</v>
      </c>
      <c r="V269" s="20" t="s">
        <v>160</v>
      </c>
      <c r="W269" s="20" t="s">
        <v>160</v>
      </c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94" customFormat="1" x14ac:dyDescent="0.25">
      <c r="A270" s="105" t="s">
        <v>2773</v>
      </c>
      <c r="B270" s="139" t="s">
        <v>2786</v>
      </c>
      <c r="C270" s="110" t="s">
        <v>845</v>
      </c>
      <c r="D270" s="153" t="s">
        <v>32</v>
      </c>
      <c r="E270" s="84">
        <f>64+40/60+32.736/3600</f>
        <v>64.675760000000011</v>
      </c>
      <c r="F270" s="84">
        <f>21+17/60+11.7852/3600</f>
        <v>21.286607</v>
      </c>
      <c r="G270" s="81"/>
      <c r="H270" s="105" t="s">
        <v>150</v>
      </c>
      <c r="I270" s="105" t="s">
        <v>169</v>
      </c>
      <c r="J270" s="105" t="s">
        <v>169</v>
      </c>
      <c r="K270" s="105" t="s">
        <v>40</v>
      </c>
      <c r="L270" s="105" t="s">
        <v>2054</v>
      </c>
      <c r="M270" s="105" t="s">
        <v>2653</v>
      </c>
      <c r="N270" s="106" t="s">
        <v>1108</v>
      </c>
      <c r="O270" s="106" t="s">
        <v>160</v>
      </c>
      <c r="P270" s="106"/>
      <c r="Q270" s="108" t="s">
        <v>1674</v>
      </c>
      <c r="R270" s="108"/>
      <c r="S270" s="108"/>
      <c r="T270" s="108"/>
      <c r="U270" s="106">
        <v>2</v>
      </c>
      <c r="V270" s="103" t="s">
        <v>160</v>
      </c>
      <c r="W270" s="103" t="s">
        <v>160</v>
      </c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 t="s">
        <v>160</v>
      </c>
      <c r="AS270" s="103" t="s">
        <v>160</v>
      </c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  <c r="BD270" s="103"/>
      <c r="BE270" s="103"/>
    </row>
    <row r="271" spans="1:57" x14ac:dyDescent="0.25">
      <c r="A271" s="7" t="s">
        <v>8</v>
      </c>
      <c r="B271" s="142" t="s">
        <v>2872</v>
      </c>
      <c r="C271" s="23" t="s">
        <v>845</v>
      </c>
      <c r="D271" s="24" t="s">
        <v>739</v>
      </c>
      <c r="E271" s="181">
        <v>64.663300000000007</v>
      </c>
      <c r="F271" s="181">
        <v>21.316700000000001</v>
      </c>
      <c r="G271" s="43"/>
      <c r="H271" s="7" t="s">
        <v>150</v>
      </c>
      <c r="I271" s="7" t="s">
        <v>169</v>
      </c>
      <c r="J271" s="7" t="s">
        <v>169</v>
      </c>
      <c r="K271" s="7" t="s">
        <v>40</v>
      </c>
      <c r="L271" s="7" t="s">
        <v>2054</v>
      </c>
      <c r="M271" s="7" t="s">
        <v>2653</v>
      </c>
      <c r="N271" s="42" t="s">
        <v>1108</v>
      </c>
      <c r="O271" s="42" t="s">
        <v>160</v>
      </c>
      <c r="P271" s="42"/>
      <c r="Q271" s="19" t="s">
        <v>1674</v>
      </c>
      <c r="U271" s="42">
        <v>2</v>
      </c>
      <c r="V271" s="20" t="s">
        <v>160</v>
      </c>
      <c r="W271" s="20" t="s">
        <v>160</v>
      </c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 t="s">
        <v>160</v>
      </c>
      <c r="AS271" s="20" t="s">
        <v>160</v>
      </c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</row>
    <row r="272" spans="1:57" x14ac:dyDescent="0.25">
      <c r="A272" s="9" t="s">
        <v>706</v>
      </c>
      <c r="B272" s="140">
        <v>40</v>
      </c>
      <c r="C272" s="23" t="s">
        <v>845</v>
      </c>
      <c r="D272" s="62" t="s">
        <v>32</v>
      </c>
      <c r="E272" s="35">
        <f>64+39/60+48/3600</f>
        <v>64.663333333333341</v>
      </c>
      <c r="F272" s="35">
        <f>21+19/60+0/3600</f>
        <v>21.316666666666666</v>
      </c>
      <c r="G272" s="43"/>
      <c r="H272" s="9" t="s">
        <v>150</v>
      </c>
      <c r="I272" s="7" t="s">
        <v>169</v>
      </c>
      <c r="J272" s="7" t="s">
        <v>169</v>
      </c>
      <c r="K272" s="9" t="s">
        <v>40</v>
      </c>
      <c r="L272" s="7" t="s">
        <v>2054</v>
      </c>
      <c r="M272" s="7" t="s">
        <v>2653</v>
      </c>
      <c r="N272" s="19" t="s">
        <v>1108</v>
      </c>
      <c r="O272" s="42" t="s">
        <v>160</v>
      </c>
      <c r="Q272" s="19" t="s">
        <v>1674</v>
      </c>
      <c r="U272" s="19">
        <v>2</v>
      </c>
      <c r="V272" s="19" t="s">
        <v>160</v>
      </c>
      <c r="W272" s="19" t="s">
        <v>160</v>
      </c>
      <c r="AR272" s="19" t="s">
        <v>160</v>
      </c>
      <c r="AS272" s="19" t="s">
        <v>160</v>
      </c>
      <c r="BB272" s="19"/>
      <c r="BC272" s="19"/>
      <c r="BD272" s="19"/>
      <c r="BE272" s="19"/>
    </row>
    <row r="273" spans="1:57" x14ac:dyDescent="0.25">
      <c r="A273" s="9" t="s">
        <v>8</v>
      </c>
      <c r="B273" s="27">
        <v>37106</v>
      </c>
      <c r="C273" s="28" t="s">
        <v>1914</v>
      </c>
      <c r="D273" s="28" t="s">
        <v>739</v>
      </c>
      <c r="E273" s="25">
        <v>64.666700000000006</v>
      </c>
      <c r="F273" s="25">
        <v>21.333300000000001</v>
      </c>
      <c r="H273" s="9" t="s">
        <v>150</v>
      </c>
      <c r="I273" s="6" t="s">
        <v>8</v>
      </c>
      <c r="J273" s="21" t="s">
        <v>8</v>
      </c>
      <c r="K273" s="6" t="s">
        <v>2455</v>
      </c>
      <c r="L273" s="7" t="s">
        <v>2027</v>
      </c>
      <c r="M273" s="28" t="s">
        <v>717</v>
      </c>
      <c r="N273" s="19" t="s">
        <v>1811</v>
      </c>
      <c r="T273" s="7"/>
      <c r="X273" s="19" t="s">
        <v>160</v>
      </c>
      <c r="BA273" s="7"/>
      <c r="BB273" s="7"/>
      <c r="BC273" s="7"/>
      <c r="BD273" s="7"/>
      <c r="BE273" s="7"/>
    </row>
    <row r="274" spans="1:57" x14ac:dyDescent="0.25">
      <c r="A274" s="9" t="s">
        <v>707</v>
      </c>
      <c r="B274" s="65" t="s">
        <v>2623</v>
      </c>
      <c r="C274" s="38" t="s">
        <v>892</v>
      </c>
      <c r="D274" s="38" t="s">
        <v>2624</v>
      </c>
      <c r="E274" s="46" t="s">
        <v>2625</v>
      </c>
      <c r="F274" s="46" t="s">
        <v>2626</v>
      </c>
      <c r="H274" s="7" t="s">
        <v>150</v>
      </c>
      <c r="I274" s="7" t="s">
        <v>169</v>
      </c>
      <c r="J274" s="7" t="s">
        <v>169</v>
      </c>
      <c r="K274" s="9" t="s">
        <v>16</v>
      </c>
      <c r="L274" s="7" t="s">
        <v>16</v>
      </c>
      <c r="M274" s="7" t="s">
        <v>717</v>
      </c>
      <c r="BB274" s="19"/>
      <c r="BC274" s="19"/>
      <c r="BD274" s="19"/>
      <c r="BE274" s="19"/>
    </row>
    <row r="275" spans="1:57" x14ac:dyDescent="0.25">
      <c r="A275" s="9" t="s">
        <v>8</v>
      </c>
      <c r="B275" s="27"/>
      <c r="C275" s="97" t="s">
        <v>892</v>
      </c>
      <c r="D275" s="97" t="s">
        <v>2707</v>
      </c>
      <c r="E275" s="30"/>
      <c r="F275" s="30"/>
      <c r="H275" s="9" t="s">
        <v>150</v>
      </c>
      <c r="I275" s="9" t="s">
        <v>169</v>
      </c>
      <c r="J275" s="9" t="s">
        <v>169</v>
      </c>
      <c r="K275" s="6" t="s">
        <v>16</v>
      </c>
      <c r="L275" s="9" t="s">
        <v>16</v>
      </c>
      <c r="M275" s="97" t="s">
        <v>717</v>
      </c>
      <c r="N275" s="4"/>
      <c r="O275" s="4"/>
      <c r="P275" s="4"/>
      <c r="Q275" s="4"/>
      <c r="R275" s="4"/>
      <c r="S275" s="4"/>
      <c r="T275" s="9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9"/>
    </row>
    <row r="276" spans="1:57" x14ac:dyDescent="0.25">
      <c r="A276" s="9" t="s">
        <v>706</v>
      </c>
      <c r="B276" s="38">
        <v>152</v>
      </c>
      <c r="C276" s="38" t="s">
        <v>892</v>
      </c>
      <c r="D276" t="s">
        <v>31</v>
      </c>
      <c r="E276" s="3">
        <v>57.664679</v>
      </c>
      <c r="F276" s="3">
        <v>11.774345</v>
      </c>
      <c r="H276" s="7" t="s">
        <v>150</v>
      </c>
      <c r="I276" s="7" t="s">
        <v>169</v>
      </c>
      <c r="J276" s="7" t="s">
        <v>169</v>
      </c>
      <c r="K276" s="9" t="s">
        <v>16</v>
      </c>
      <c r="L276" s="7" t="s">
        <v>16</v>
      </c>
      <c r="M276" s="7" t="s">
        <v>717</v>
      </c>
      <c r="BB276" s="19"/>
      <c r="BC276" s="19"/>
      <c r="BD276" s="19"/>
      <c r="BE276" s="19"/>
    </row>
    <row r="277" spans="1:57" x14ac:dyDescent="0.25">
      <c r="A277" s="9" t="s">
        <v>707</v>
      </c>
      <c r="B277" s="137" t="s">
        <v>273</v>
      </c>
      <c r="C277" s="23" t="s">
        <v>846</v>
      </c>
      <c r="D277" s="40" t="s">
        <v>274</v>
      </c>
      <c r="E277" s="46" t="s">
        <v>276</v>
      </c>
      <c r="F277" s="46" t="s">
        <v>275</v>
      </c>
      <c r="G277" s="52"/>
      <c r="H277" s="9" t="s">
        <v>150</v>
      </c>
      <c r="I277" s="41" t="s">
        <v>170</v>
      </c>
      <c r="J277" s="7" t="s">
        <v>169</v>
      </c>
      <c r="K277" s="40" t="s">
        <v>40</v>
      </c>
      <c r="L277" s="41" t="s">
        <v>2054</v>
      </c>
      <c r="M277" s="7" t="s">
        <v>2653</v>
      </c>
      <c r="N277" s="42" t="s">
        <v>1115</v>
      </c>
      <c r="O277" s="42" t="s">
        <v>160</v>
      </c>
      <c r="P277" s="42"/>
      <c r="Q277" s="19" t="s">
        <v>1675</v>
      </c>
      <c r="U277" s="19">
        <v>3</v>
      </c>
      <c r="V277" s="42" t="s">
        <v>160</v>
      </c>
      <c r="W277" s="42" t="s">
        <v>160</v>
      </c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 t="s">
        <v>160</v>
      </c>
      <c r="AS277" s="42" t="s">
        <v>160</v>
      </c>
      <c r="AZ277" s="42"/>
      <c r="BA277" s="42"/>
      <c r="BB277" s="42"/>
      <c r="BC277" s="42"/>
      <c r="BD277" s="42"/>
      <c r="BE277" s="42"/>
    </row>
    <row r="278" spans="1:57" x14ac:dyDescent="0.25">
      <c r="A278" s="53" t="s">
        <v>2763</v>
      </c>
      <c r="B278" s="138">
        <v>35236</v>
      </c>
      <c r="C278" s="53" t="s">
        <v>846</v>
      </c>
      <c r="D278" s="53" t="s">
        <v>2746</v>
      </c>
      <c r="E278" s="35">
        <f>60+41/60+28.68/3600</f>
        <v>60.691299999999998</v>
      </c>
      <c r="F278" s="35">
        <f>17+13/60+31.8/3600</f>
        <v>17.225499999999997</v>
      </c>
      <c r="G278" s="54"/>
      <c r="H278" s="7" t="s">
        <v>150</v>
      </c>
      <c r="I278" s="7" t="s">
        <v>169</v>
      </c>
      <c r="J278" s="53" t="s">
        <v>169</v>
      </c>
      <c r="K278" s="7" t="s">
        <v>6</v>
      </c>
      <c r="L278" s="7" t="s">
        <v>2030</v>
      </c>
      <c r="M278" s="7" t="s">
        <v>2653</v>
      </c>
      <c r="N278" s="42" t="s">
        <v>1115</v>
      </c>
      <c r="O278" s="42" t="s">
        <v>160</v>
      </c>
      <c r="P278" s="42"/>
      <c r="Q278" s="19" t="s">
        <v>1675</v>
      </c>
      <c r="U278" s="42">
        <v>3</v>
      </c>
      <c r="V278" s="20" t="s">
        <v>160</v>
      </c>
      <c r="W278" s="20" t="s">
        <v>160</v>
      </c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117"/>
      <c r="AS278" s="117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x14ac:dyDescent="0.25">
      <c r="A279" s="94" t="s">
        <v>2773</v>
      </c>
      <c r="B279" s="141" t="s">
        <v>2785</v>
      </c>
      <c r="C279" s="99" t="s">
        <v>846</v>
      </c>
      <c r="D279" s="153" t="s">
        <v>2746</v>
      </c>
      <c r="E279" s="185">
        <f>60+41.802/60</f>
        <v>60.6967</v>
      </c>
      <c r="F279" s="185">
        <f>17+13.884/60</f>
        <v>17.231400000000001</v>
      </c>
      <c r="G279" s="128"/>
      <c r="H279" s="94" t="s">
        <v>150</v>
      </c>
      <c r="I279" s="113" t="s">
        <v>170</v>
      </c>
      <c r="J279" s="94" t="s">
        <v>169</v>
      </c>
      <c r="K279" s="94" t="s">
        <v>40</v>
      </c>
      <c r="L279" s="94" t="s">
        <v>2054</v>
      </c>
      <c r="M279" s="94" t="s">
        <v>2653</v>
      </c>
      <c r="N279" s="129" t="s">
        <v>1115</v>
      </c>
      <c r="O279" s="129" t="s">
        <v>160</v>
      </c>
      <c r="P279" s="129"/>
      <c r="Q279" s="130" t="s">
        <v>1675</v>
      </c>
      <c r="R279" s="130"/>
      <c r="S279" s="130"/>
      <c r="T279" s="130"/>
      <c r="U279" s="129">
        <v>3</v>
      </c>
      <c r="V279" s="131" t="s">
        <v>160</v>
      </c>
      <c r="W279" s="131" t="s">
        <v>160</v>
      </c>
      <c r="X279" s="131"/>
      <c r="Y279" s="131"/>
      <c r="Z279" s="131"/>
      <c r="AA279" s="131"/>
      <c r="AB279" s="131"/>
      <c r="AC279" s="131"/>
      <c r="AD279" s="131"/>
      <c r="AE279" s="131"/>
      <c r="AF279" s="131"/>
      <c r="AG279" s="131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 t="s">
        <v>160</v>
      </c>
      <c r="AS279" s="131" t="s">
        <v>160</v>
      </c>
      <c r="AT279" s="131"/>
      <c r="AU279" s="131"/>
      <c r="AV279" s="131"/>
      <c r="AW279" s="131"/>
      <c r="AX279" s="131"/>
      <c r="AY279" s="131"/>
      <c r="AZ279" s="131"/>
      <c r="BA279" s="131"/>
      <c r="BB279" s="131"/>
      <c r="BC279" s="131"/>
      <c r="BD279" s="131"/>
      <c r="BE279" s="131"/>
    </row>
    <row r="280" spans="1:57" x14ac:dyDescent="0.25">
      <c r="A280" s="9" t="s">
        <v>8</v>
      </c>
      <c r="B280" s="138" t="s">
        <v>2873</v>
      </c>
      <c r="C280" s="26" t="s">
        <v>846</v>
      </c>
      <c r="D280" s="10" t="s">
        <v>2746</v>
      </c>
      <c r="E280" s="193">
        <v>60.6967</v>
      </c>
      <c r="F280" s="193">
        <v>17.231400000000001</v>
      </c>
      <c r="G280" s="160"/>
      <c r="H280" s="9" t="s">
        <v>150</v>
      </c>
      <c r="I280" s="41" t="s">
        <v>170</v>
      </c>
      <c r="J280" s="9" t="s">
        <v>169</v>
      </c>
      <c r="K280" s="9" t="s">
        <v>40</v>
      </c>
      <c r="L280" s="9" t="s">
        <v>2054</v>
      </c>
      <c r="M280" s="9" t="s">
        <v>2653</v>
      </c>
      <c r="N280" s="95" t="s">
        <v>1115</v>
      </c>
      <c r="O280" s="95" t="s">
        <v>160</v>
      </c>
      <c r="P280" s="95"/>
      <c r="Q280" s="4" t="s">
        <v>1675</v>
      </c>
      <c r="R280" s="4"/>
      <c r="S280" s="4"/>
      <c r="T280" s="4"/>
      <c r="U280" s="95">
        <v>3</v>
      </c>
      <c r="V280" s="161" t="s">
        <v>160</v>
      </c>
      <c r="W280" s="161" t="s">
        <v>160</v>
      </c>
      <c r="X280" s="161"/>
      <c r="Y280" s="161"/>
      <c r="Z280" s="161"/>
      <c r="AA280" s="161"/>
      <c r="AB280" s="161"/>
      <c r="AC280" s="161"/>
      <c r="AD280" s="161"/>
      <c r="AE280" s="161"/>
      <c r="AF280" s="161"/>
      <c r="AG280" s="161"/>
      <c r="AH280" s="161"/>
      <c r="AI280" s="161"/>
      <c r="AJ280" s="161"/>
      <c r="AK280" s="161"/>
      <c r="AL280" s="161"/>
      <c r="AM280" s="161"/>
      <c r="AN280" s="161"/>
      <c r="AO280" s="161"/>
      <c r="AP280" s="161"/>
      <c r="AQ280" s="161"/>
      <c r="AR280" s="161" t="s">
        <v>160</v>
      </c>
      <c r="AS280" s="161" t="s">
        <v>160</v>
      </c>
      <c r="AT280" s="161"/>
      <c r="AU280" s="161"/>
      <c r="AV280" s="161"/>
      <c r="AW280" s="161"/>
      <c r="AX280" s="161"/>
      <c r="AY280" s="161"/>
      <c r="AZ280" s="161"/>
      <c r="BA280" s="161"/>
      <c r="BB280" s="161"/>
      <c r="BC280" s="161"/>
      <c r="BD280" s="161"/>
      <c r="BE280" s="161"/>
    </row>
    <row r="281" spans="1:57" x14ac:dyDescent="0.25">
      <c r="A281" s="9" t="s">
        <v>706</v>
      </c>
      <c r="B281" s="140">
        <v>185</v>
      </c>
      <c r="C281" s="23" t="s">
        <v>846</v>
      </c>
      <c r="D281" s="62" t="s">
        <v>776</v>
      </c>
      <c r="E281" s="43">
        <f>60+41/60+48/3600</f>
        <v>60.696666666666665</v>
      </c>
      <c r="F281" s="3">
        <f>17+13/60+53/3600</f>
        <v>17.231388888888887</v>
      </c>
      <c r="G281" s="43"/>
      <c r="H281" s="9" t="s">
        <v>150</v>
      </c>
      <c r="I281" s="41" t="s">
        <v>170</v>
      </c>
      <c r="J281" s="7" t="s">
        <v>169</v>
      </c>
      <c r="K281" s="9" t="s">
        <v>40</v>
      </c>
      <c r="L281" s="7" t="s">
        <v>2054</v>
      </c>
      <c r="M281" s="7" t="s">
        <v>2653</v>
      </c>
      <c r="N281" s="42" t="s">
        <v>1115</v>
      </c>
      <c r="O281" s="42" t="s">
        <v>160</v>
      </c>
      <c r="P281" s="42"/>
      <c r="Q281" s="19" t="s">
        <v>1675</v>
      </c>
      <c r="U281" s="19">
        <v>3</v>
      </c>
      <c r="V281" s="19" t="s">
        <v>160</v>
      </c>
      <c r="W281" s="19" t="s">
        <v>160</v>
      </c>
      <c r="AR281" s="19" t="s">
        <v>160</v>
      </c>
      <c r="AS281" s="19" t="s">
        <v>160</v>
      </c>
      <c r="BB281" s="19"/>
      <c r="BC281" s="19"/>
      <c r="BD281" s="19"/>
      <c r="BE281" s="19"/>
    </row>
    <row r="282" spans="1:57" x14ac:dyDescent="0.25">
      <c r="A282" s="6" t="s">
        <v>8</v>
      </c>
      <c r="B282" s="9">
        <v>107400</v>
      </c>
      <c r="C282" s="9" t="s">
        <v>2267</v>
      </c>
      <c r="D282" s="9" t="s">
        <v>747</v>
      </c>
      <c r="E282" s="3">
        <v>60.653700000000001</v>
      </c>
      <c r="F282" s="3">
        <v>17.1693</v>
      </c>
      <c r="G282" s="9">
        <v>16</v>
      </c>
      <c r="H282" s="9" t="s">
        <v>150</v>
      </c>
      <c r="I282" s="6" t="s">
        <v>8</v>
      </c>
      <c r="J282" s="21" t="s">
        <v>8</v>
      </c>
      <c r="K282" s="3" t="s">
        <v>5</v>
      </c>
      <c r="L282" s="5" t="s">
        <v>2680</v>
      </c>
      <c r="M282" s="7" t="s">
        <v>717</v>
      </c>
      <c r="N282" s="19" t="s">
        <v>2471</v>
      </c>
      <c r="P282" s="19" t="s">
        <v>160</v>
      </c>
      <c r="AR282" s="19" t="s">
        <v>160</v>
      </c>
      <c r="AT282" s="19" t="s">
        <v>160</v>
      </c>
      <c r="AV282" s="19" t="s">
        <v>160</v>
      </c>
      <c r="AX282" s="19" t="s">
        <v>160</v>
      </c>
      <c r="AZ282" s="19" t="s">
        <v>160</v>
      </c>
      <c r="BB282" s="19"/>
      <c r="BC282" s="19"/>
      <c r="BD282" s="19"/>
      <c r="BE282" s="19"/>
    </row>
    <row r="283" spans="1:57" x14ac:dyDescent="0.25">
      <c r="A283" s="6" t="s">
        <v>8</v>
      </c>
      <c r="B283" s="9">
        <v>107420</v>
      </c>
      <c r="C283" s="9" t="s">
        <v>1387</v>
      </c>
      <c r="D283" s="9" t="s">
        <v>1388</v>
      </c>
      <c r="E283" s="3">
        <v>60.716099999999997</v>
      </c>
      <c r="F283" s="3">
        <v>17.160699999999999</v>
      </c>
      <c r="G283" s="9">
        <v>16.125</v>
      </c>
      <c r="H283" s="9" t="s">
        <v>150</v>
      </c>
      <c r="I283" s="21" t="s">
        <v>8</v>
      </c>
      <c r="J283" s="21" t="s">
        <v>8</v>
      </c>
      <c r="K283" s="3" t="s">
        <v>5</v>
      </c>
      <c r="L283" s="5" t="s">
        <v>2681</v>
      </c>
      <c r="M283" s="7" t="s">
        <v>2653</v>
      </c>
      <c r="N283" s="19" t="s">
        <v>2303</v>
      </c>
      <c r="P283" s="19" t="s">
        <v>160</v>
      </c>
      <c r="AR283" s="19" t="s">
        <v>160</v>
      </c>
      <c r="AS283" s="19" t="s">
        <v>160</v>
      </c>
      <c r="AT283" s="19" t="s">
        <v>160</v>
      </c>
      <c r="AU283" s="19" t="s">
        <v>160</v>
      </c>
      <c r="AX283" s="19" t="s">
        <v>160</v>
      </c>
      <c r="AY283" s="19" t="s">
        <v>160</v>
      </c>
      <c r="AZ283" s="19" t="s">
        <v>160</v>
      </c>
      <c r="BA283" s="19" t="s">
        <v>160</v>
      </c>
      <c r="BB283" s="19"/>
      <c r="BC283" s="19"/>
      <c r="BD283" s="19"/>
      <c r="BE283" s="19"/>
    </row>
    <row r="284" spans="1:57" x14ac:dyDescent="0.25">
      <c r="A284" s="9" t="s">
        <v>8</v>
      </c>
      <c r="B284" s="27">
        <v>37304</v>
      </c>
      <c r="C284" s="28" t="s">
        <v>1915</v>
      </c>
      <c r="D284" s="28" t="s">
        <v>1389</v>
      </c>
      <c r="E284" s="25">
        <v>56.933300000000003</v>
      </c>
      <c r="F284" s="25">
        <v>12.35</v>
      </c>
      <c r="H284" s="9" t="s">
        <v>150</v>
      </c>
      <c r="I284" s="6" t="s">
        <v>8</v>
      </c>
      <c r="J284" s="21" t="s">
        <v>8</v>
      </c>
      <c r="K284" s="6" t="s">
        <v>2455</v>
      </c>
      <c r="L284" s="7" t="s">
        <v>2027</v>
      </c>
      <c r="M284" s="28" t="s">
        <v>717</v>
      </c>
      <c r="N284" s="19" t="s">
        <v>1857</v>
      </c>
      <c r="T284" s="7"/>
      <c r="X284" s="19" t="s">
        <v>160</v>
      </c>
      <c r="BA284" s="7"/>
      <c r="BB284" s="7"/>
      <c r="BC284" s="7"/>
      <c r="BD284" s="7"/>
      <c r="BE284" s="7"/>
    </row>
    <row r="285" spans="1:57" x14ac:dyDescent="0.25">
      <c r="A285" s="6" t="s">
        <v>8</v>
      </c>
      <c r="B285" s="9">
        <v>62550</v>
      </c>
      <c r="C285" s="9" t="s">
        <v>2364</v>
      </c>
      <c r="D285" s="9" t="s">
        <v>1389</v>
      </c>
      <c r="E285" s="3">
        <v>56.930300000000003</v>
      </c>
      <c r="F285" s="3">
        <v>12.357900000000001</v>
      </c>
      <c r="G285" s="9">
        <v>6</v>
      </c>
      <c r="H285" s="9" t="s">
        <v>150</v>
      </c>
      <c r="I285" s="6" t="s">
        <v>8</v>
      </c>
      <c r="J285" s="21" t="s">
        <v>8</v>
      </c>
      <c r="K285" s="3" t="s">
        <v>5</v>
      </c>
      <c r="L285" s="5" t="s">
        <v>2680</v>
      </c>
      <c r="M285" s="7" t="s">
        <v>717</v>
      </c>
      <c r="N285" s="19" t="s">
        <v>2472</v>
      </c>
      <c r="P285" s="19" t="s">
        <v>160</v>
      </c>
      <c r="AR285" s="19" t="s">
        <v>160</v>
      </c>
      <c r="AT285" s="19" t="s">
        <v>160</v>
      </c>
      <c r="AV285" s="19" t="s">
        <v>160</v>
      </c>
      <c r="AX285" s="19" t="s">
        <v>160</v>
      </c>
      <c r="AZ285" s="19" t="s">
        <v>160</v>
      </c>
      <c r="BB285" s="19"/>
      <c r="BC285" s="19"/>
      <c r="BD285" s="19"/>
      <c r="BE285" s="19"/>
    </row>
    <row r="286" spans="1:57" s="94" customFormat="1" x14ac:dyDescent="0.25">
      <c r="A286" s="98" t="s">
        <v>2773</v>
      </c>
      <c r="B286" s="135">
        <v>2081</v>
      </c>
      <c r="C286" s="98" t="s">
        <v>1263</v>
      </c>
      <c r="D286" s="98" t="s">
        <v>1226</v>
      </c>
      <c r="E286" s="189">
        <f>57+30/60+0/3600</f>
        <v>57.5</v>
      </c>
      <c r="F286" s="189">
        <f>18+6/60+36/3600</f>
        <v>18.110000000000003</v>
      </c>
      <c r="G286" s="101"/>
      <c r="H286" s="98" t="s">
        <v>150</v>
      </c>
      <c r="I286" s="98" t="s">
        <v>8</v>
      </c>
      <c r="J286" s="102" t="s">
        <v>8</v>
      </c>
      <c r="K286" s="98" t="s">
        <v>6</v>
      </c>
      <c r="L286" s="102" t="s">
        <v>2030</v>
      </c>
      <c r="M286" s="102" t="s">
        <v>717</v>
      </c>
      <c r="N286" s="104" t="s">
        <v>1303</v>
      </c>
      <c r="O286" s="104"/>
      <c r="P286" s="104"/>
      <c r="Q286" s="103" t="s">
        <v>1669</v>
      </c>
      <c r="R286" s="103"/>
      <c r="S286" s="103"/>
      <c r="T286" s="103"/>
      <c r="U286" s="104">
        <v>4</v>
      </c>
      <c r="V286" s="103" t="s">
        <v>160</v>
      </c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  <c r="BD286" s="103"/>
      <c r="BE286" s="103"/>
    </row>
    <row r="287" spans="1:57" x14ac:dyDescent="0.25">
      <c r="A287" s="10" t="s">
        <v>8</v>
      </c>
      <c r="B287" s="155">
        <v>2081</v>
      </c>
      <c r="C287" s="10" t="s">
        <v>1263</v>
      </c>
      <c r="D287" s="10" t="s">
        <v>1226</v>
      </c>
      <c r="E287" s="193">
        <v>57.502499999999998</v>
      </c>
      <c r="F287" s="193">
        <v>18.112500000000001</v>
      </c>
      <c r="G287" s="30"/>
      <c r="H287" s="10" t="s">
        <v>150</v>
      </c>
      <c r="I287" s="10" t="s">
        <v>8</v>
      </c>
      <c r="J287" s="24" t="s">
        <v>8</v>
      </c>
      <c r="K287" s="10" t="s">
        <v>6</v>
      </c>
      <c r="L287" s="24" t="s">
        <v>2030</v>
      </c>
      <c r="M287" s="24" t="s">
        <v>717</v>
      </c>
      <c r="N287" s="22" t="s">
        <v>1303</v>
      </c>
      <c r="O287" s="22"/>
      <c r="P287" s="22"/>
      <c r="Q287" s="20" t="s">
        <v>1669</v>
      </c>
      <c r="R287" s="20"/>
      <c r="S287" s="20"/>
      <c r="T287" s="20"/>
      <c r="U287" s="22">
        <v>4</v>
      </c>
      <c r="V287" s="20" t="s">
        <v>160</v>
      </c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</row>
    <row r="288" spans="1:57" x14ac:dyDescent="0.25">
      <c r="A288" s="9" t="s">
        <v>707</v>
      </c>
      <c r="B288" s="39" t="s">
        <v>277</v>
      </c>
      <c r="C288" s="39" t="s">
        <v>893</v>
      </c>
      <c r="D288" s="40" t="s">
        <v>278</v>
      </c>
      <c r="E288" s="46" t="s">
        <v>2098</v>
      </c>
      <c r="F288" s="46" t="s">
        <v>2099</v>
      </c>
      <c r="G288" s="40"/>
      <c r="H288" s="9" t="s">
        <v>149</v>
      </c>
      <c r="I288" s="41" t="s">
        <v>169</v>
      </c>
      <c r="J288" s="41" t="s">
        <v>169</v>
      </c>
      <c r="K288" s="40" t="s">
        <v>5</v>
      </c>
      <c r="L288" s="41" t="s">
        <v>2041</v>
      </c>
      <c r="M288" s="7" t="s">
        <v>2653</v>
      </c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Z288" s="42" t="s">
        <v>160</v>
      </c>
      <c r="BA288" s="42" t="s">
        <v>160</v>
      </c>
      <c r="BB288" s="42"/>
      <c r="BC288" s="42"/>
      <c r="BD288" s="42"/>
      <c r="BE288" s="42"/>
    </row>
    <row r="289" spans="1:57" s="94" customFormat="1" x14ac:dyDescent="0.25">
      <c r="A289" s="114" t="s">
        <v>2773</v>
      </c>
      <c r="B289" s="110" t="s">
        <v>2851</v>
      </c>
      <c r="C289" s="110" t="s">
        <v>893</v>
      </c>
      <c r="D289" s="153" t="s">
        <v>33</v>
      </c>
      <c r="E289" s="82">
        <f>58+5/60+53.88/3600</f>
        <v>58.098300000000002</v>
      </c>
      <c r="F289" s="82">
        <f>12+9/60+2.16/3600</f>
        <v>12.150600000000001</v>
      </c>
      <c r="G289" s="93"/>
      <c r="H289" s="94" t="s">
        <v>149</v>
      </c>
      <c r="I289" s="102" t="s">
        <v>169</v>
      </c>
      <c r="J289" s="102" t="s">
        <v>169</v>
      </c>
      <c r="K289" s="102" t="s">
        <v>5</v>
      </c>
      <c r="L289" s="102" t="s">
        <v>2041</v>
      </c>
      <c r="M289" s="105" t="s">
        <v>2653</v>
      </c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  <c r="AH289" s="108"/>
      <c r="AI289" s="108"/>
      <c r="AJ289" s="108"/>
      <c r="AK289" s="108"/>
      <c r="AL289" s="108"/>
      <c r="AM289" s="108"/>
      <c r="AN289" s="108"/>
      <c r="AO289" s="108"/>
      <c r="AP289" s="108"/>
      <c r="AQ289" s="108"/>
      <c r="AR289" s="108"/>
      <c r="AS289" s="108"/>
      <c r="AT289" s="108"/>
      <c r="AU289" s="108"/>
      <c r="AV289" s="108"/>
      <c r="AW289" s="108"/>
      <c r="AX289" s="108"/>
      <c r="AY289" s="108"/>
      <c r="AZ289" s="108" t="s">
        <v>160</v>
      </c>
      <c r="BA289" s="108" t="s">
        <v>160</v>
      </c>
      <c r="BB289" s="108"/>
      <c r="BC289" s="108"/>
      <c r="BD289" s="108"/>
      <c r="BE289" s="108"/>
    </row>
    <row r="290" spans="1:57" x14ac:dyDescent="0.25">
      <c r="A290" s="6" t="s">
        <v>8</v>
      </c>
      <c r="B290" s="23">
        <v>35175</v>
      </c>
      <c r="C290" s="23" t="s">
        <v>893</v>
      </c>
      <c r="D290" s="24" t="s">
        <v>778</v>
      </c>
      <c r="E290" s="3">
        <f>58+5/60+53.88/3600</f>
        <v>58.098300000000002</v>
      </c>
      <c r="F290" s="3">
        <f>12+9/60+2.16/3600</f>
        <v>12.150600000000001</v>
      </c>
      <c r="G290" s="5"/>
      <c r="H290" s="9" t="s">
        <v>149</v>
      </c>
      <c r="I290" s="24" t="s">
        <v>169</v>
      </c>
      <c r="J290" s="24" t="s">
        <v>169</v>
      </c>
      <c r="K290" s="24" t="s">
        <v>5</v>
      </c>
      <c r="L290" s="24" t="s">
        <v>2041</v>
      </c>
      <c r="M290" s="7" t="s">
        <v>2653</v>
      </c>
      <c r="AZ290" s="19" t="s">
        <v>160</v>
      </c>
      <c r="BA290" s="19" t="s">
        <v>160</v>
      </c>
      <c r="BB290" s="19"/>
      <c r="BC290" s="19"/>
      <c r="BD290" s="19"/>
      <c r="BE290" s="19"/>
    </row>
    <row r="291" spans="1:57" x14ac:dyDescent="0.25">
      <c r="A291" s="9" t="s">
        <v>706</v>
      </c>
      <c r="B291" s="38">
        <v>41</v>
      </c>
      <c r="C291" s="38" t="s">
        <v>893</v>
      </c>
      <c r="D291" s="62" t="s">
        <v>33</v>
      </c>
      <c r="E291" s="5">
        <f>58+5/60+54/3600</f>
        <v>58.098333333333336</v>
      </c>
      <c r="F291" s="5">
        <f>12+9/60+2/3600</f>
        <v>12.150555555555556</v>
      </c>
      <c r="H291" s="9" t="s">
        <v>149</v>
      </c>
      <c r="I291" s="7" t="s">
        <v>169</v>
      </c>
      <c r="J291" s="7" t="s">
        <v>169</v>
      </c>
      <c r="K291" s="9" t="s">
        <v>5</v>
      </c>
      <c r="L291" s="7" t="s">
        <v>2041</v>
      </c>
      <c r="M291" s="7" t="s">
        <v>2653</v>
      </c>
      <c r="AZ291" s="19" t="s">
        <v>160</v>
      </c>
      <c r="BA291" s="19" t="s">
        <v>160</v>
      </c>
      <c r="BB291" s="19"/>
      <c r="BC291" s="19"/>
      <c r="BD291" s="19"/>
      <c r="BE291" s="19"/>
    </row>
    <row r="292" spans="1:57" x14ac:dyDescent="0.25">
      <c r="A292" s="9" t="s">
        <v>707</v>
      </c>
      <c r="B292" s="137">
        <v>100011759</v>
      </c>
      <c r="C292" s="23" t="s">
        <v>834</v>
      </c>
      <c r="D292" s="40" t="s">
        <v>184</v>
      </c>
      <c r="E292" s="46" t="s">
        <v>186</v>
      </c>
      <c r="F292" s="46" t="s">
        <v>185</v>
      </c>
      <c r="G292" s="40"/>
      <c r="H292" s="9" t="s">
        <v>149</v>
      </c>
      <c r="I292" s="41" t="s">
        <v>2245</v>
      </c>
      <c r="J292" s="7" t="s">
        <v>169</v>
      </c>
      <c r="K292" s="40" t="s">
        <v>6</v>
      </c>
      <c r="L292" s="41" t="s">
        <v>2030</v>
      </c>
      <c r="M292" s="7" t="s">
        <v>2653</v>
      </c>
      <c r="N292" s="19" t="s">
        <v>1123</v>
      </c>
      <c r="O292" s="42" t="s">
        <v>160</v>
      </c>
      <c r="P292" s="42" t="s">
        <v>160</v>
      </c>
      <c r="Q292" s="44" t="s">
        <v>1138</v>
      </c>
      <c r="S292" s="19" t="s">
        <v>160</v>
      </c>
      <c r="T292" s="19" t="s">
        <v>160</v>
      </c>
      <c r="U292" s="19">
        <v>2</v>
      </c>
      <c r="V292" s="42" t="s">
        <v>160</v>
      </c>
      <c r="W292" s="42" t="s">
        <v>160</v>
      </c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Z292" s="42"/>
      <c r="BA292" s="42"/>
      <c r="BB292" s="42"/>
      <c r="BC292" s="42"/>
      <c r="BD292" s="42"/>
      <c r="BE292" s="42"/>
    </row>
    <row r="293" spans="1:57" x14ac:dyDescent="0.25">
      <c r="A293" s="53" t="s">
        <v>2763</v>
      </c>
      <c r="B293" s="143">
        <v>33095</v>
      </c>
      <c r="C293" s="85" t="s">
        <v>834</v>
      </c>
      <c r="D293" s="85" t="s">
        <v>726</v>
      </c>
      <c r="E293" s="47">
        <f>57+47/60+23.18/3600</f>
        <v>57.789772222222219</v>
      </c>
      <c r="F293" s="124">
        <f>12+0/60+36.688/3600</f>
        <v>12.01019111111111</v>
      </c>
      <c r="G293" s="85"/>
      <c r="H293" s="7" t="s">
        <v>149</v>
      </c>
      <c r="I293" s="41" t="s">
        <v>2245</v>
      </c>
      <c r="J293" s="85" t="s">
        <v>2747</v>
      </c>
      <c r="K293" s="7" t="s">
        <v>6</v>
      </c>
      <c r="L293" s="7" t="s">
        <v>2030</v>
      </c>
      <c r="M293" s="7" t="s">
        <v>2653</v>
      </c>
      <c r="N293" s="19" t="s">
        <v>1123</v>
      </c>
      <c r="O293" s="19" t="s">
        <v>160</v>
      </c>
      <c r="P293" s="19" t="s">
        <v>160</v>
      </c>
      <c r="Q293" s="44" t="s">
        <v>1138</v>
      </c>
      <c r="S293" s="19" t="s">
        <v>160</v>
      </c>
      <c r="T293" s="19" t="s">
        <v>160</v>
      </c>
      <c r="U293" s="42">
        <v>2</v>
      </c>
      <c r="V293" s="20" t="s">
        <v>160</v>
      </c>
      <c r="W293" s="20" t="s">
        <v>160</v>
      </c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  <c r="BA293" s="85"/>
      <c r="BB293" s="85"/>
      <c r="BC293" s="85"/>
      <c r="BD293" s="85"/>
      <c r="BE293" s="85"/>
    </row>
    <row r="294" spans="1:57" s="94" customFormat="1" x14ac:dyDescent="0.25">
      <c r="A294" s="105" t="s">
        <v>2773</v>
      </c>
      <c r="B294" s="139" t="s">
        <v>2787</v>
      </c>
      <c r="C294" s="110" t="s">
        <v>834</v>
      </c>
      <c r="D294" s="153" t="s">
        <v>726</v>
      </c>
      <c r="E294" s="81">
        <f>57+47/60+23.19/3600</f>
        <v>57.789774999999999</v>
      </c>
      <c r="F294" s="81">
        <f>12+0/60+36.73/3600</f>
        <v>12.010202777777778</v>
      </c>
      <c r="G294" s="81"/>
      <c r="H294" s="105" t="s">
        <v>149</v>
      </c>
      <c r="I294" s="113" t="s">
        <v>2245</v>
      </c>
      <c r="J294" s="105" t="s">
        <v>169</v>
      </c>
      <c r="K294" s="105" t="s">
        <v>6</v>
      </c>
      <c r="L294" s="105" t="s">
        <v>2030</v>
      </c>
      <c r="M294" s="105" t="s">
        <v>2653</v>
      </c>
      <c r="N294" s="108" t="s">
        <v>1123</v>
      </c>
      <c r="O294" s="108" t="s">
        <v>160</v>
      </c>
      <c r="P294" s="108" t="s">
        <v>160</v>
      </c>
      <c r="Q294" s="107" t="s">
        <v>1138</v>
      </c>
      <c r="R294" s="108"/>
      <c r="S294" s="108" t="s">
        <v>160</v>
      </c>
      <c r="T294" s="108" t="s">
        <v>160</v>
      </c>
      <c r="U294" s="106">
        <v>2</v>
      </c>
      <c r="V294" s="103" t="s">
        <v>160</v>
      </c>
      <c r="W294" s="103" t="s">
        <v>160</v>
      </c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  <c r="BD294" s="103"/>
      <c r="BE294" s="103"/>
    </row>
    <row r="295" spans="1:57" x14ac:dyDescent="0.25">
      <c r="A295" s="7" t="s">
        <v>8</v>
      </c>
      <c r="B295" s="142" t="s">
        <v>2875</v>
      </c>
      <c r="C295" s="23" t="s">
        <v>834</v>
      </c>
      <c r="D295" s="24" t="s">
        <v>726</v>
      </c>
      <c r="E295" s="193">
        <v>57.7898</v>
      </c>
      <c r="F295" s="193">
        <v>12.010199999999999</v>
      </c>
      <c r="G295" s="43"/>
      <c r="H295" s="7" t="s">
        <v>149</v>
      </c>
      <c r="I295" s="41" t="s">
        <v>2245</v>
      </c>
      <c r="J295" s="7" t="s">
        <v>169</v>
      </c>
      <c r="K295" s="7" t="s">
        <v>6</v>
      </c>
      <c r="L295" s="7" t="s">
        <v>2030</v>
      </c>
      <c r="M295" s="7" t="s">
        <v>2653</v>
      </c>
      <c r="N295" s="19" t="s">
        <v>1123</v>
      </c>
      <c r="O295" s="19" t="s">
        <v>160</v>
      </c>
      <c r="P295" s="19" t="s">
        <v>160</v>
      </c>
      <c r="Q295" s="44" t="s">
        <v>1138</v>
      </c>
      <c r="S295" s="19" t="s">
        <v>160</v>
      </c>
      <c r="T295" s="19" t="s">
        <v>160</v>
      </c>
      <c r="U295" s="42">
        <v>2</v>
      </c>
      <c r="V295" s="20" t="s">
        <v>160</v>
      </c>
      <c r="W295" s="20" t="s">
        <v>160</v>
      </c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</row>
    <row r="296" spans="1:57" x14ac:dyDescent="0.25">
      <c r="A296" s="9" t="s">
        <v>706</v>
      </c>
      <c r="B296" s="140">
        <v>169</v>
      </c>
      <c r="C296" s="23" t="s">
        <v>834</v>
      </c>
      <c r="D296" s="62" t="s">
        <v>784</v>
      </c>
      <c r="E296" s="3">
        <f>57+47/60+23/3600</f>
        <v>57.789722222222217</v>
      </c>
      <c r="F296" s="3">
        <f>12+0/60+37/3600</f>
        <v>12.010277777777778</v>
      </c>
      <c r="G296" s="43"/>
      <c r="H296" s="9" t="s">
        <v>149</v>
      </c>
      <c r="I296" s="41" t="s">
        <v>2245</v>
      </c>
      <c r="J296" s="7" t="s">
        <v>169</v>
      </c>
      <c r="K296" s="9" t="s">
        <v>6</v>
      </c>
      <c r="L296" s="7" t="s">
        <v>2030</v>
      </c>
      <c r="M296" s="7" t="s">
        <v>2653</v>
      </c>
      <c r="N296" s="19" t="s">
        <v>1123</v>
      </c>
      <c r="O296" s="19" t="s">
        <v>160</v>
      </c>
      <c r="P296" s="19" t="s">
        <v>160</v>
      </c>
      <c r="Q296" s="44" t="s">
        <v>1138</v>
      </c>
      <c r="S296" s="19" t="s">
        <v>160</v>
      </c>
      <c r="T296" s="19" t="s">
        <v>160</v>
      </c>
      <c r="U296" s="19">
        <v>2</v>
      </c>
      <c r="V296" s="19" t="s">
        <v>160</v>
      </c>
      <c r="W296" s="19" t="s">
        <v>160</v>
      </c>
      <c r="BB296" s="19"/>
      <c r="BC296" s="19"/>
      <c r="BD296" s="19"/>
      <c r="BE296" s="19"/>
    </row>
    <row r="297" spans="1:57" x14ac:dyDescent="0.25">
      <c r="A297" s="9" t="s">
        <v>707</v>
      </c>
      <c r="B297" s="137" t="s">
        <v>227</v>
      </c>
      <c r="C297" s="38" t="s">
        <v>835</v>
      </c>
      <c r="D297" s="40" t="s">
        <v>228</v>
      </c>
      <c r="E297" s="46" t="s">
        <v>230</v>
      </c>
      <c r="F297" s="46" t="s">
        <v>229</v>
      </c>
      <c r="G297" s="40"/>
      <c r="H297" s="9" t="s">
        <v>149</v>
      </c>
      <c r="I297" s="41" t="s">
        <v>2245</v>
      </c>
      <c r="J297" s="7" t="s">
        <v>169</v>
      </c>
      <c r="K297" s="40" t="s">
        <v>6</v>
      </c>
      <c r="L297" s="41" t="s">
        <v>2030</v>
      </c>
      <c r="M297" s="7" t="s">
        <v>2653</v>
      </c>
      <c r="N297" s="19" t="s">
        <v>1123</v>
      </c>
      <c r="O297" s="42" t="s">
        <v>160</v>
      </c>
      <c r="P297" s="42" t="s">
        <v>160</v>
      </c>
      <c r="Q297" s="44" t="s">
        <v>1139</v>
      </c>
      <c r="S297" s="19" t="s">
        <v>160</v>
      </c>
      <c r="T297" s="19" t="s">
        <v>160</v>
      </c>
      <c r="U297" s="19">
        <v>2</v>
      </c>
      <c r="V297" s="42" t="s">
        <v>160</v>
      </c>
      <c r="W297" s="42" t="s">
        <v>160</v>
      </c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Z297" s="42"/>
      <c r="BA297" s="42"/>
      <c r="BB297" s="42"/>
      <c r="BC297" s="42"/>
      <c r="BD297" s="42"/>
      <c r="BE297" s="42"/>
    </row>
    <row r="298" spans="1:57" x14ac:dyDescent="0.25">
      <c r="A298" s="53" t="s">
        <v>2763</v>
      </c>
      <c r="B298" s="143">
        <v>33096</v>
      </c>
      <c r="C298" s="85" t="s">
        <v>835</v>
      </c>
      <c r="D298" s="85" t="s">
        <v>736</v>
      </c>
      <c r="E298" s="66">
        <f>57+41/60+47.64/3600</f>
        <v>57.696566666666662</v>
      </c>
      <c r="F298" s="66">
        <f>11+54/60+31.8/3600</f>
        <v>11.908833333333334</v>
      </c>
      <c r="G298" s="86"/>
      <c r="H298" s="7" t="s">
        <v>149</v>
      </c>
      <c r="I298" s="14" t="s">
        <v>2245</v>
      </c>
      <c r="J298" s="85" t="s">
        <v>2747</v>
      </c>
      <c r="K298" s="7" t="s">
        <v>6</v>
      </c>
      <c r="L298" s="7" t="s">
        <v>2030</v>
      </c>
      <c r="M298" s="7" t="s">
        <v>2653</v>
      </c>
      <c r="N298" s="19" t="s">
        <v>1123</v>
      </c>
      <c r="O298" s="19" t="s">
        <v>160</v>
      </c>
      <c r="P298" s="19" t="s">
        <v>160</v>
      </c>
      <c r="Q298" s="44" t="s">
        <v>1139</v>
      </c>
      <c r="S298" s="19" t="s">
        <v>160</v>
      </c>
      <c r="T298" s="19" t="s">
        <v>160</v>
      </c>
      <c r="U298" s="42">
        <v>2</v>
      </c>
      <c r="V298" s="20" t="s">
        <v>160</v>
      </c>
      <c r="W298" s="20" t="s">
        <v>160</v>
      </c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  <c r="BE298" s="85"/>
    </row>
    <row r="299" spans="1:57" s="94" customFormat="1" x14ac:dyDescent="0.25">
      <c r="A299" s="105" t="s">
        <v>2773</v>
      </c>
      <c r="B299" s="139" t="s">
        <v>2788</v>
      </c>
      <c r="C299" s="109" t="s">
        <v>835</v>
      </c>
      <c r="D299" s="153" t="s">
        <v>736</v>
      </c>
      <c r="E299" s="81">
        <f>57+41/60+47.64/3600</f>
        <v>57.696566666666662</v>
      </c>
      <c r="F299" s="81">
        <f>11+54/60+31.8/3600</f>
        <v>11.908833333333334</v>
      </c>
      <c r="G299" s="81"/>
      <c r="H299" s="94" t="s">
        <v>149</v>
      </c>
      <c r="I299" s="105" t="s">
        <v>2245</v>
      </c>
      <c r="J299" s="105" t="s">
        <v>169</v>
      </c>
      <c r="K299" s="105" t="s">
        <v>6</v>
      </c>
      <c r="L299" s="105" t="s">
        <v>2030</v>
      </c>
      <c r="M299" s="105" t="s">
        <v>2653</v>
      </c>
      <c r="N299" s="108" t="s">
        <v>1123</v>
      </c>
      <c r="O299" s="108" t="s">
        <v>160</v>
      </c>
      <c r="P299" s="108" t="s">
        <v>160</v>
      </c>
      <c r="Q299" s="107" t="s">
        <v>1139</v>
      </c>
      <c r="R299" s="108"/>
      <c r="S299" s="108" t="s">
        <v>160</v>
      </c>
      <c r="T299" s="108" t="s">
        <v>160</v>
      </c>
      <c r="U299" s="106">
        <v>2</v>
      </c>
      <c r="V299" s="103" t="s">
        <v>160</v>
      </c>
      <c r="W299" s="103" t="s">
        <v>160</v>
      </c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  <c r="BD299" s="103"/>
      <c r="BE299" s="103"/>
    </row>
    <row r="300" spans="1:57" x14ac:dyDescent="0.25">
      <c r="A300" s="7" t="s">
        <v>8</v>
      </c>
      <c r="B300" s="142" t="s">
        <v>2876</v>
      </c>
      <c r="C300" s="38" t="s">
        <v>835</v>
      </c>
      <c r="D300" s="24" t="s">
        <v>736</v>
      </c>
      <c r="E300" s="193">
        <v>57.696599999999997</v>
      </c>
      <c r="F300" s="193">
        <v>11.908799999999999</v>
      </c>
      <c r="G300" s="43"/>
      <c r="H300" s="9" t="s">
        <v>149</v>
      </c>
      <c r="I300" s="7" t="s">
        <v>2245</v>
      </c>
      <c r="J300" s="7" t="s">
        <v>169</v>
      </c>
      <c r="K300" s="7" t="s">
        <v>6</v>
      </c>
      <c r="L300" s="7" t="s">
        <v>2030</v>
      </c>
      <c r="M300" s="7" t="s">
        <v>2653</v>
      </c>
      <c r="N300" s="19" t="s">
        <v>1123</v>
      </c>
      <c r="O300" s="19" t="s">
        <v>160</v>
      </c>
      <c r="P300" s="19" t="s">
        <v>160</v>
      </c>
      <c r="Q300" s="44" t="s">
        <v>1139</v>
      </c>
      <c r="S300" s="19" t="s">
        <v>160</v>
      </c>
      <c r="T300" s="19" t="s">
        <v>160</v>
      </c>
      <c r="U300" s="42">
        <v>2</v>
      </c>
      <c r="V300" s="20" t="s">
        <v>160</v>
      </c>
      <c r="W300" s="20" t="s">
        <v>160</v>
      </c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</row>
    <row r="301" spans="1:57" x14ac:dyDescent="0.25">
      <c r="A301" s="9" t="s">
        <v>706</v>
      </c>
      <c r="B301" s="140">
        <v>168</v>
      </c>
      <c r="C301" s="38" t="s">
        <v>835</v>
      </c>
      <c r="D301" s="62" t="s">
        <v>783</v>
      </c>
      <c r="E301" s="3">
        <f>57+41/60+48/3600</f>
        <v>57.696666666666665</v>
      </c>
      <c r="F301" s="3">
        <f>11+54/60+32/3600</f>
        <v>11.908888888888889</v>
      </c>
      <c r="G301" s="43"/>
      <c r="H301" s="9" t="s">
        <v>149</v>
      </c>
      <c r="I301" s="7" t="s">
        <v>2245</v>
      </c>
      <c r="J301" s="7" t="s">
        <v>169</v>
      </c>
      <c r="K301" s="9" t="s">
        <v>6</v>
      </c>
      <c r="L301" s="7" t="s">
        <v>2030</v>
      </c>
      <c r="M301" s="7" t="s">
        <v>2653</v>
      </c>
      <c r="N301" s="19" t="s">
        <v>1123</v>
      </c>
      <c r="O301" s="19" t="s">
        <v>160</v>
      </c>
      <c r="P301" s="19" t="s">
        <v>160</v>
      </c>
      <c r="Q301" s="44" t="s">
        <v>1139</v>
      </c>
      <c r="S301" s="19" t="s">
        <v>160</v>
      </c>
      <c r="T301" s="19" t="s">
        <v>160</v>
      </c>
      <c r="U301" s="19">
        <v>2</v>
      </c>
      <c r="V301" s="19" t="s">
        <v>160</v>
      </c>
      <c r="W301" s="19" t="s">
        <v>160</v>
      </c>
      <c r="BB301" s="19"/>
      <c r="BC301" s="19"/>
      <c r="BD301" s="19"/>
      <c r="BE301" s="19"/>
    </row>
    <row r="302" spans="1:57" x14ac:dyDescent="0.25">
      <c r="A302" s="9" t="s">
        <v>707</v>
      </c>
      <c r="B302" s="137" t="s">
        <v>279</v>
      </c>
      <c r="C302" s="39" t="s">
        <v>847</v>
      </c>
      <c r="D302" s="40" t="s">
        <v>280</v>
      </c>
      <c r="E302" s="46" t="s">
        <v>2184</v>
      </c>
      <c r="F302" s="46" t="s">
        <v>2100</v>
      </c>
      <c r="G302" s="40"/>
      <c r="H302" s="9" t="s">
        <v>149</v>
      </c>
      <c r="I302" s="40" t="s">
        <v>281</v>
      </c>
      <c r="J302" s="7" t="s">
        <v>169</v>
      </c>
      <c r="K302" s="40" t="s">
        <v>40</v>
      </c>
      <c r="L302" s="41" t="s">
        <v>2051</v>
      </c>
      <c r="M302" s="7" t="s">
        <v>717</v>
      </c>
      <c r="O302" s="19" t="s">
        <v>160</v>
      </c>
      <c r="Q302" s="19" t="s">
        <v>1668</v>
      </c>
      <c r="U302" s="19">
        <v>4</v>
      </c>
      <c r="V302" s="42" t="s">
        <v>160</v>
      </c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Z302" s="42" t="s">
        <v>160</v>
      </c>
      <c r="BA302" s="42"/>
      <c r="BB302" s="42"/>
      <c r="BC302" s="42"/>
      <c r="BD302" s="42"/>
      <c r="BE302" s="42"/>
    </row>
    <row r="303" spans="1:57" s="94" customFormat="1" x14ac:dyDescent="0.25">
      <c r="A303" s="114" t="s">
        <v>2773</v>
      </c>
      <c r="B303" s="139" t="s">
        <v>2832</v>
      </c>
      <c r="C303" s="110" t="s">
        <v>847</v>
      </c>
      <c r="D303" s="102" t="s">
        <v>777</v>
      </c>
      <c r="E303" s="81">
        <f>57+42/60+51.99/3600</f>
        <v>57.714441666666673</v>
      </c>
      <c r="F303" s="81">
        <f>11+57/60+59.8/3600</f>
        <v>11.96661111111111</v>
      </c>
      <c r="G303" s="93"/>
      <c r="H303" s="94" t="s">
        <v>149</v>
      </c>
      <c r="I303" s="113" t="s">
        <v>360</v>
      </c>
      <c r="J303" s="102" t="s">
        <v>169</v>
      </c>
      <c r="K303" s="102" t="s">
        <v>40</v>
      </c>
      <c r="L303" s="102" t="s">
        <v>2051</v>
      </c>
      <c r="M303" s="105" t="s">
        <v>717</v>
      </c>
      <c r="N303" s="108"/>
      <c r="O303" s="108" t="s">
        <v>160</v>
      </c>
      <c r="P303" s="108"/>
      <c r="Q303" s="108" t="s">
        <v>1668</v>
      </c>
      <c r="R303" s="108"/>
      <c r="S303" s="108"/>
      <c r="T303" s="108"/>
      <c r="U303" s="108">
        <v>4</v>
      </c>
      <c r="V303" s="108" t="s">
        <v>160</v>
      </c>
      <c r="W303" s="108"/>
      <c r="X303" s="108"/>
      <c r="Y303" s="108"/>
      <c r="Z303" s="108"/>
      <c r="AA303" s="108"/>
      <c r="AB303" s="108"/>
      <c r="AC303" s="108"/>
      <c r="AD303" s="108"/>
      <c r="AE303" s="108"/>
      <c r="AF303" s="108"/>
      <c r="AG303" s="108"/>
      <c r="AH303" s="108"/>
      <c r="AI303" s="108"/>
      <c r="AJ303" s="108"/>
      <c r="AK303" s="108"/>
      <c r="AL303" s="108"/>
      <c r="AM303" s="108"/>
      <c r="AN303" s="108"/>
      <c r="AO303" s="108"/>
      <c r="AP303" s="108"/>
      <c r="AQ303" s="108"/>
      <c r="AR303" s="108"/>
      <c r="AS303" s="108"/>
      <c r="AT303" s="108"/>
      <c r="AU303" s="108"/>
      <c r="AV303" s="108"/>
      <c r="AW303" s="108"/>
      <c r="AX303" s="108"/>
      <c r="AY303" s="108"/>
      <c r="AZ303" s="108" t="s">
        <v>160</v>
      </c>
      <c r="BA303" s="108"/>
      <c r="BB303" s="108"/>
      <c r="BC303" s="108"/>
      <c r="BD303" s="108"/>
      <c r="BE303" s="108"/>
    </row>
    <row r="304" spans="1:57" x14ac:dyDescent="0.25">
      <c r="A304" s="6" t="s">
        <v>8</v>
      </c>
      <c r="B304" s="142" t="s">
        <v>2877</v>
      </c>
      <c r="C304" s="23" t="s">
        <v>847</v>
      </c>
      <c r="D304" s="24" t="s">
        <v>777</v>
      </c>
      <c r="E304" s="193">
        <v>57.714399999999998</v>
      </c>
      <c r="F304" s="193">
        <v>11.9666</v>
      </c>
      <c r="G304" s="5"/>
      <c r="H304" s="9" t="s">
        <v>149</v>
      </c>
      <c r="I304" s="41" t="s">
        <v>360</v>
      </c>
      <c r="J304" s="24" t="s">
        <v>169</v>
      </c>
      <c r="K304" s="24" t="s">
        <v>40</v>
      </c>
      <c r="L304" s="24" t="s">
        <v>2051</v>
      </c>
      <c r="M304" s="7" t="s">
        <v>717</v>
      </c>
      <c r="O304" s="19" t="s">
        <v>160</v>
      </c>
      <c r="Q304" s="19" t="s">
        <v>1668</v>
      </c>
      <c r="U304" s="19">
        <v>4</v>
      </c>
      <c r="V304" s="19" t="s">
        <v>160</v>
      </c>
      <c r="AZ304" s="19" t="s">
        <v>160</v>
      </c>
      <c r="BB304" s="19"/>
      <c r="BC304" s="19"/>
      <c r="BD304" s="19"/>
      <c r="BE304" s="19"/>
    </row>
    <row r="305" spans="1:57" x14ac:dyDescent="0.25">
      <c r="A305" s="9" t="s">
        <v>706</v>
      </c>
      <c r="B305" s="144">
        <v>42</v>
      </c>
      <c r="C305" s="39" t="s">
        <v>847</v>
      </c>
      <c r="D305" s="6" t="s">
        <v>34</v>
      </c>
      <c r="E305" s="3">
        <f>57+42/60+52/3600</f>
        <v>57.714444444444446</v>
      </c>
      <c r="F305" s="3">
        <f>11+58/60+3/3600</f>
        <v>11.967499999999999</v>
      </c>
      <c r="H305" s="9" t="s">
        <v>149</v>
      </c>
      <c r="I305" s="41" t="s">
        <v>360</v>
      </c>
      <c r="J305" s="7" t="s">
        <v>169</v>
      </c>
      <c r="K305" s="9" t="s">
        <v>40</v>
      </c>
      <c r="L305" s="7" t="s">
        <v>2051</v>
      </c>
      <c r="M305" s="7" t="s">
        <v>717</v>
      </c>
      <c r="O305" s="19" t="s">
        <v>160</v>
      </c>
      <c r="Q305" s="19" t="s">
        <v>1668</v>
      </c>
      <c r="U305" s="19">
        <v>4</v>
      </c>
      <c r="V305" s="19" t="s">
        <v>160</v>
      </c>
      <c r="AZ305" s="19" t="s">
        <v>160</v>
      </c>
      <c r="BB305" s="19"/>
      <c r="BC305" s="19"/>
      <c r="BD305" s="19"/>
      <c r="BE305" s="19"/>
    </row>
    <row r="306" spans="1:57" x14ac:dyDescent="0.25">
      <c r="A306" s="53" t="s">
        <v>2763</v>
      </c>
      <c r="B306" s="143">
        <v>33097</v>
      </c>
      <c r="C306" s="85" t="s">
        <v>2641</v>
      </c>
      <c r="D306" s="85" t="s">
        <v>2642</v>
      </c>
      <c r="E306" s="35">
        <f>57+42/60+53.676/3600</f>
        <v>57.714910000000003</v>
      </c>
      <c r="F306" s="35">
        <f>11+58/60+7.468/3600</f>
        <v>11.968741111111111</v>
      </c>
      <c r="G306" s="86"/>
      <c r="H306" s="7" t="s">
        <v>149</v>
      </c>
      <c r="I306" s="14" t="s">
        <v>169</v>
      </c>
      <c r="J306" s="85" t="s">
        <v>169</v>
      </c>
      <c r="K306" s="7" t="s">
        <v>6</v>
      </c>
      <c r="L306" s="7" t="s">
        <v>2031</v>
      </c>
      <c r="M306" s="7" t="s">
        <v>2653</v>
      </c>
      <c r="N306" s="42" t="s">
        <v>2633</v>
      </c>
      <c r="O306" s="42" t="s">
        <v>160</v>
      </c>
      <c r="P306" s="42" t="s">
        <v>160</v>
      </c>
      <c r="Q306" s="20" t="s">
        <v>2648</v>
      </c>
      <c r="U306" s="42">
        <v>2</v>
      </c>
      <c r="V306" s="20" t="s">
        <v>160</v>
      </c>
      <c r="W306" s="20" t="s">
        <v>160</v>
      </c>
      <c r="X306" s="20" t="s">
        <v>160</v>
      </c>
      <c r="Y306" s="20" t="s">
        <v>160</v>
      </c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85"/>
      <c r="BC306" s="85"/>
      <c r="BD306" s="85"/>
      <c r="BE306" s="85"/>
    </row>
    <row r="307" spans="1:57" s="94" customFormat="1" x14ac:dyDescent="0.25">
      <c r="A307" s="105" t="s">
        <v>2773</v>
      </c>
      <c r="B307" s="139" t="s">
        <v>2789</v>
      </c>
      <c r="C307" s="102" t="s">
        <v>2641</v>
      </c>
      <c r="D307" s="153" t="s">
        <v>2642</v>
      </c>
      <c r="E307" s="81">
        <f>57+42/60+54.792/3600</f>
        <v>57.715220000000002</v>
      </c>
      <c r="F307" s="81">
        <f>11+58/60+5.5344/3600</f>
        <v>11.968204</v>
      </c>
      <c r="G307" s="81"/>
      <c r="H307" s="105" t="s">
        <v>149</v>
      </c>
      <c r="I307" s="105" t="s">
        <v>169</v>
      </c>
      <c r="J307" s="105" t="s">
        <v>169</v>
      </c>
      <c r="K307" s="105" t="s">
        <v>6</v>
      </c>
      <c r="L307" s="105" t="s">
        <v>2052</v>
      </c>
      <c r="M307" s="105" t="s">
        <v>2653</v>
      </c>
      <c r="N307" s="106" t="s">
        <v>2633</v>
      </c>
      <c r="O307" s="106" t="s">
        <v>160</v>
      </c>
      <c r="P307" s="106" t="s">
        <v>160</v>
      </c>
      <c r="Q307" s="103" t="s">
        <v>2648</v>
      </c>
      <c r="R307" s="108"/>
      <c r="S307" s="108"/>
      <c r="T307" s="108"/>
      <c r="U307" s="106">
        <v>2</v>
      </c>
      <c r="V307" s="103" t="s">
        <v>160</v>
      </c>
      <c r="W307" s="103" t="s">
        <v>160</v>
      </c>
      <c r="X307" s="103" t="s">
        <v>160</v>
      </c>
      <c r="Y307" s="103" t="s">
        <v>160</v>
      </c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 t="s">
        <v>160</v>
      </c>
      <c r="BA307" s="103" t="s">
        <v>160</v>
      </c>
      <c r="BB307" s="103"/>
      <c r="BC307" s="103"/>
      <c r="BD307" s="103"/>
      <c r="BE307" s="103"/>
    </row>
    <row r="308" spans="1:57" x14ac:dyDescent="0.25">
      <c r="A308" s="7" t="s">
        <v>8</v>
      </c>
      <c r="B308" s="142" t="s">
        <v>2878</v>
      </c>
      <c r="C308" s="24" t="s">
        <v>2641</v>
      </c>
      <c r="D308" s="24" t="s">
        <v>2642</v>
      </c>
      <c r="E308" s="193">
        <v>57.7149</v>
      </c>
      <c r="F308" s="193">
        <v>11.9687</v>
      </c>
      <c r="G308" s="43"/>
      <c r="H308" s="7" t="s">
        <v>149</v>
      </c>
      <c r="I308" s="7" t="s">
        <v>169</v>
      </c>
      <c r="J308" s="85" t="s">
        <v>169</v>
      </c>
      <c r="K308" s="7" t="s">
        <v>6</v>
      </c>
      <c r="L308" s="7" t="s">
        <v>2052</v>
      </c>
      <c r="M308" s="7" t="s">
        <v>2653</v>
      </c>
      <c r="N308" s="42" t="s">
        <v>2633</v>
      </c>
      <c r="O308" s="42" t="s">
        <v>160</v>
      </c>
      <c r="P308" s="42" t="s">
        <v>160</v>
      </c>
      <c r="Q308" s="20" t="s">
        <v>2648</v>
      </c>
      <c r="U308" s="42">
        <v>2</v>
      </c>
      <c r="V308" s="20" t="s">
        <v>160</v>
      </c>
      <c r="W308" s="20" t="s">
        <v>160</v>
      </c>
      <c r="X308" s="20" t="s">
        <v>160</v>
      </c>
      <c r="Y308" s="20" t="s">
        <v>160</v>
      </c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 t="s">
        <v>160</v>
      </c>
      <c r="BA308" s="20" t="s">
        <v>160</v>
      </c>
      <c r="BB308" s="20"/>
      <c r="BC308" s="20"/>
      <c r="BD308" s="20"/>
      <c r="BE308" s="20"/>
    </row>
    <row r="309" spans="1:57" x14ac:dyDescent="0.25">
      <c r="A309" s="9" t="s">
        <v>706</v>
      </c>
      <c r="B309" s="140">
        <v>193</v>
      </c>
      <c r="C309" s="24" t="s">
        <v>2641</v>
      </c>
      <c r="D309" s="62" t="s">
        <v>159</v>
      </c>
      <c r="E309" s="3">
        <f>57+42/60+52/3600</f>
        <v>57.714444444444446</v>
      </c>
      <c r="F309" s="3">
        <f>11+58/60+3/3600</f>
        <v>11.967499999999999</v>
      </c>
      <c r="H309" s="9" t="s">
        <v>150</v>
      </c>
      <c r="I309" s="7" t="s">
        <v>169</v>
      </c>
      <c r="J309" s="7" t="s">
        <v>169</v>
      </c>
      <c r="K309" s="9" t="s">
        <v>6</v>
      </c>
      <c r="L309" s="7" t="s">
        <v>2052</v>
      </c>
      <c r="M309" s="7" t="s">
        <v>2653</v>
      </c>
      <c r="N309" s="19" t="s">
        <v>2633</v>
      </c>
      <c r="O309" s="42" t="s">
        <v>160</v>
      </c>
      <c r="P309" s="19" t="s">
        <v>160</v>
      </c>
      <c r="Q309" s="20" t="s">
        <v>2648</v>
      </c>
      <c r="U309" s="19">
        <v>2</v>
      </c>
      <c r="V309" s="19" t="s">
        <v>160</v>
      </c>
      <c r="W309" s="19" t="s">
        <v>160</v>
      </c>
      <c r="X309" s="19" t="s">
        <v>160</v>
      </c>
      <c r="Y309" s="19" t="s">
        <v>160</v>
      </c>
      <c r="AZ309" s="19" t="s">
        <v>160</v>
      </c>
      <c r="BA309" s="19" t="s">
        <v>160</v>
      </c>
      <c r="BB309" s="19"/>
      <c r="BC309" s="19"/>
      <c r="BD309" s="19"/>
      <c r="BE309" s="19"/>
    </row>
    <row r="310" spans="1:57" s="94" customFormat="1" x14ac:dyDescent="0.25">
      <c r="A310" s="94" t="s">
        <v>2773</v>
      </c>
      <c r="B310" s="136">
        <v>2108</v>
      </c>
      <c r="C310" s="115" t="s">
        <v>981</v>
      </c>
      <c r="D310" s="112" t="s">
        <v>982</v>
      </c>
      <c r="E310" s="82">
        <f>57+41/60+29.31/3600</f>
        <v>57.691474999999997</v>
      </c>
      <c r="F310" s="82">
        <f>11+54/60+31.61/3600</f>
        <v>11.908780555555555</v>
      </c>
      <c r="G310" s="82"/>
      <c r="H310" s="94" t="s">
        <v>149</v>
      </c>
      <c r="I310" s="112" t="s">
        <v>8</v>
      </c>
      <c r="J310" s="113" t="s">
        <v>8</v>
      </c>
      <c r="K310" s="94" t="s">
        <v>6</v>
      </c>
      <c r="L310" s="105" t="s">
        <v>2030</v>
      </c>
      <c r="M310" s="105" t="s">
        <v>717</v>
      </c>
      <c r="N310" s="108" t="s">
        <v>1329</v>
      </c>
      <c r="O310" s="108"/>
      <c r="P310" s="108"/>
      <c r="Q310" s="108" t="s">
        <v>1328</v>
      </c>
      <c r="R310" s="107" t="s">
        <v>1591</v>
      </c>
      <c r="S310" s="108" t="s">
        <v>160</v>
      </c>
      <c r="T310" s="108" t="s">
        <v>160</v>
      </c>
      <c r="U310" s="108">
        <v>4</v>
      </c>
      <c r="V310" s="108" t="s">
        <v>160</v>
      </c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08"/>
      <c r="AH310" s="108"/>
      <c r="AI310" s="108"/>
      <c r="AJ310" s="108"/>
      <c r="AK310" s="108"/>
      <c r="AL310" s="108"/>
      <c r="AM310" s="108"/>
      <c r="AN310" s="108"/>
      <c r="AO310" s="108"/>
      <c r="AP310" s="108"/>
      <c r="AQ310" s="108"/>
      <c r="AR310" s="108"/>
      <c r="AS310" s="108"/>
      <c r="AT310" s="108"/>
      <c r="AU310" s="108"/>
      <c r="AV310" s="108"/>
      <c r="AW310" s="108"/>
      <c r="AX310" s="108"/>
      <c r="AY310" s="108"/>
      <c r="AZ310" s="108"/>
      <c r="BA310" s="108"/>
      <c r="BB310" s="108"/>
      <c r="BC310" s="108"/>
      <c r="BD310" s="108"/>
      <c r="BE310" s="108"/>
    </row>
    <row r="311" spans="1:57" x14ac:dyDescent="0.25">
      <c r="A311" s="9" t="s">
        <v>8</v>
      </c>
      <c r="B311" s="140">
        <v>2108</v>
      </c>
      <c r="C311" s="39" t="s">
        <v>981</v>
      </c>
      <c r="D311" s="40" t="s">
        <v>982</v>
      </c>
      <c r="E311" s="195">
        <v>57.69</v>
      </c>
      <c r="F311" s="195">
        <v>11.9</v>
      </c>
      <c r="H311" s="9" t="s">
        <v>149</v>
      </c>
      <c r="I311" s="40" t="s">
        <v>8</v>
      </c>
      <c r="J311" s="41" t="s">
        <v>8</v>
      </c>
      <c r="K311" s="9" t="s">
        <v>6</v>
      </c>
      <c r="L311" s="7" t="s">
        <v>2030</v>
      </c>
      <c r="M311" s="7" t="s">
        <v>717</v>
      </c>
      <c r="N311" s="19" t="s">
        <v>1329</v>
      </c>
      <c r="Q311" s="19" t="s">
        <v>1328</v>
      </c>
      <c r="R311" s="44" t="s">
        <v>1591</v>
      </c>
      <c r="S311" s="19" t="s">
        <v>160</v>
      </c>
      <c r="T311" s="19" t="s">
        <v>160</v>
      </c>
      <c r="U311" s="19">
        <v>4</v>
      </c>
      <c r="V311" s="19" t="s">
        <v>160</v>
      </c>
      <c r="BB311" s="19"/>
      <c r="BC311" s="19"/>
      <c r="BD311" s="19"/>
      <c r="BE311" s="19"/>
    </row>
    <row r="312" spans="1:57" x14ac:dyDescent="0.25">
      <c r="A312" s="9" t="s">
        <v>707</v>
      </c>
      <c r="B312" s="137" t="s">
        <v>375</v>
      </c>
      <c r="C312" s="23" t="s">
        <v>861</v>
      </c>
      <c r="D312" s="40" t="s">
        <v>376</v>
      </c>
      <c r="E312" s="46" t="s">
        <v>378</v>
      </c>
      <c r="F312" s="46" t="s">
        <v>377</v>
      </c>
      <c r="G312" s="40"/>
      <c r="H312" s="9" t="s">
        <v>150</v>
      </c>
      <c r="I312" s="41" t="s">
        <v>8</v>
      </c>
      <c r="J312" s="41" t="s">
        <v>8</v>
      </c>
      <c r="K312" s="40" t="s">
        <v>6</v>
      </c>
      <c r="L312" s="41" t="s">
        <v>2688</v>
      </c>
      <c r="M312" s="7" t="s">
        <v>2653</v>
      </c>
      <c r="N312" s="42" t="s">
        <v>1113</v>
      </c>
      <c r="O312" s="42"/>
      <c r="P312" s="42" t="s">
        <v>160</v>
      </c>
      <c r="Q312" s="44" t="s">
        <v>1140</v>
      </c>
      <c r="U312" s="19">
        <v>1</v>
      </c>
      <c r="V312" s="42" t="s">
        <v>160</v>
      </c>
      <c r="W312" s="42" t="s">
        <v>160</v>
      </c>
      <c r="X312" s="42" t="s">
        <v>160</v>
      </c>
      <c r="Y312" s="42" t="s">
        <v>160</v>
      </c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19" t="s">
        <v>160</v>
      </c>
      <c r="AU312" s="19" t="s">
        <v>160</v>
      </c>
      <c r="AX312" s="19" t="s">
        <v>160</v>
      </c>
      <c r="AY312" s="19" t="s">
        <v>160</v>
      </c>
      <c r="AZ312" s="42"/>
      <c r="BA312" s="42"/>
      <c r="BB312" s="42"/>
      <c r="BC312" s="42"/>
      <c r="BD312" s="42"/>
      <c r="BE312" s="42"/>
    </row>
    <row r="313" spans="1:57" x14ac:dyDescent="0.25">
      <c r="A313" s="53" t="s">
        <v>2763</v>
      </c>
      <c r="B313" s="138">
        <v>33089</v>
      </c>
      <c r="C313" s="53" t="s">
        <v>861</v>
      </c>
      <c r="D313" s="53" t="s">
        <v>2301</v>
      </c>
      <c r="E313" s="47">
        <f>57+41/60+28.738/3600</f>
        <v>57.691316111111107</v>
      </c>
      <c r="F313" s="47">
        <f>11+46/60+16.486/3600</f>
        <v>11.771246111111111</v>
      </c>
      <c r="G313" s="53">
        <v>1.54</v>
      </c>
      <c r="H313" s="7" t="s">
        <v>150</v>
      </c>
      <c r="I313" s="7" t="s">
        <v>8</v>
      </c>
      <c r="J313" s="53" t="s">
        <v>8</v>
      </c>
      <c r="K313" s="7" t="s">
        <v>6</v>
      </c>
      <c r="L313" s="7" t="s">
        <v>2031</v>
      </c>
      <c r="M313" s="7" t="s">
        <v>2653</v>
      </c>
      <c r="N313" s="42" t="s">
        <v>1113</v>
      </c>
      <c r="O313" s="42"/>
      <c r="P313" s="42" t="s">
        <v>160</v>
      </c>
      <c r="Q313" s="44" t="s">
        <v>1140</v>
      </c>
      <c r="U313" s="42">
        <v>1</v>
      </c>
      <c r="V313" s="20" t="s">
        <v>160</v>
      </c>
      <c r="W313" s="20" t="s">
        <v>160</v>
      </c>
      <c r="X313" s="20" t="s">
        <v>160</v>
      </c>
      <c r="Y313" s="20" t="s">
        <v>160</v>
      </c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53"/>
      <c r="BA313" s="53"/>
      <c r="BB313" s="53"/>
      <c r="BC313" s="53"/>
      <c r="BD313" s="53"/>
      <c r="BE313" s="53"/>
    </row>
    <row r="314" spans="1:57" s="94" customFormat="1" x14ac:dyDescent="0.25">
      <c r="A314" s="105" t="s">
        <v>2773</v>
      </c>
      <c r="B314" s="139" t="s">
        <v>2790</v>
      </c>
      <c r="C314" s="110" t="s">
        <v>861</v>
      </c>
      <c r="D314" s="111" t="s">
        <v>2301</v>
      </c>
      <c r="E314" s="93">
        <f>57+41/60+28.62/3600</f>
        <v>57.691283333333331</v>
      </c>
      <c r="F314" s="93">
        <f>11+46/60+16.52/3600</f>
        <v>11.771255555555557</v>
      </c>
      <c r="G314" s="187">
        <v>1.54</v>
      </c>
      <c r="H314" s="105" t="s">
        <v>150</v>
      </c>
      <c r="I314" s="105" t="s">
        <v>8</v>
      </c>
      <c r="J314" s="105" t="s">
        <v>8</v>
      </c>
      <c r="K314" s="105" t="s">
        <v>6</v>
      </c>
      <c r="L314" s="105" t="s">
        <v>2688</v>
      </c>
      <c r="M314" s="105" t="s">
        <v>2653</v>
      </c>
      <c r="N314" s="106" t="s">
        <v>1113</v>
      </c>
      <c r="O314" s="106"/>
      <c r="P314" s="106" t="s">
        <v>160</v>
      </c>
      <c r="Q314" s="107" t="s">
        <v>1140</v>
      </c>
      <c r="R314" s="108"/>
      <c r="S314" s="108"/>
      <c r="T314" s="108"/>
      <c r="U314" s="106">
        <v>1</v>
      </c>
      <c r="V314" s="103" t="s">
        <v>160</v>
      </c>
      <c r="W314" s="103" t="s">
        <v>160</v>
      </c>
      <c r="X314" s="103" t="s">
        <v>160</v>
      </c>
      <c r="Y314" s="103" t="s">
        <v>160</v>
      </c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 t="s">
        <v>160</v>
      </c>
      <c r="AU314" s="103" t="s">
        <v>160</v>
      </c>
      <c r="AV314" s="103"/>
      <c r="AW314" s="103"/>
      <c r="AX314" s="103" t="s">
        <v>160</v>
      </c>
      <c r="AY314" s="103" t="s">
        <v>160</v>
      </c>
      <c r="AZ314" s="103"/>
      <c r="BA314" s="103"/>
      <c r="BB314" s="103"/>
      <c r="BC314" s="103"/>
      <c r="BD314" s="103"/>
      <c r="BE314" s="103"/>
    </row>
    <row r="315" spans="1:57" x14ac:dyDescent="0.25">
      <c r="A315" s="7" t="s">
        <v>8</v>
      </c>
      <c r="B315" s="142" t="s">
        <v>2879</v>
      </c>
      <c r="C315" s="23" t="s">
        <v>861</v>
      </c>
      <c r="D315" t="s">
        <v>2301</v>
      </c>
      <c r="E315" s="193">
        <v>57.691299999999998</v>
      </c>
      <c r="F315" s="193">
        <v>11.7712</v>
      </c>
      <c r="G315" s="25"/>
      <c r="H315" s="7" t="s">
        <v>150</v>
      </c>
      <c r="I315" s="7" t="s">
        <v>8</v>
      </c>
      <c r="J315" s="7" t="s">
        <v>8</v>
      </c>
      <c r="K315" s="7" t="s">
        <v>6</v>
      </c>
      <c r="L315" s="7" t="s">
        <v>2688</v>
      </c>
      <c r="M315" s="7" t="s">
        <v>2653</v>
      </c>
      <c r="N315" s="42" t="s">
        <v>1113</v>
      </c>
      <c r="O315" s="42"/>
      <c r="P315" s="42" t="s">
        <v>160</v>
      </c>
      <c r="Q315" s="44" t="s">
        <v>1140</v>
      </c>
      <c r="U315" s="42">
        <v>1</v>
      </c>
      <c r="V315" s="20" t="s">
        <v>160</v>
      </c>
      <c r="W315" s="20" t="s">
        <v>160</v>
      </c>
      <c r="X315" s="20" t="s">
        <v>160</v>
      </c>
      <c r="Y315" s="20" t="s">
        <v>160</v>
      </c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 t="s">
        <v>160</v>
      </c>
      <c r="AU315" s="20" t="s">
        <v>160</v>
      </c>
      <c r="AV315" s="20"/>
      <c r="AW315" s="20"/>
      <c r="AX315" s="20" t="s">
        <v>160</v>
      </c>
      <c r="AY315" s="20" t="s">
        <v>160</v>
      </c>
      <c r="AZ315" s="20"/>
      <c r="BA315" s="20"/>
      <c r="BB315" s="20"/>
      <c r="BC315" s="20"/>
      <c r="BD315" s="20"/>
      <c r="BE315" s="20"/>
    </row>
    <row r="316" spans="1:57" x14ac:dyDescent="0.25">
      <c r="A316" s="9" t="s">
        <v>706</v>
      </c>
      <c r="B316" s="137">
        <v>183</v>
      </c>
      <c r="C316" s="23" t="s">
        <v>861</v>
      </c>
      <c r="D316" s="61" t="s">
        <v>716</v>
      </c>
      <c r="E316" s="52">
        <f>57+41/60+2/3600</f>
        <v>57.683888888888887</v>
      </c>
      <c r="F316" s="52">
        <f>11+46/60+16/3600</f>
        <v>11.771111111111113</v>
      </c>
      <c r="G316" s="52"/>
      <c r="H316" s="9" t="s">
        <v>150</v>
      </c>
      <c r="I316" s="41" t="s">
        <v>8</v>
      </c>
      <c r="J316" s="41" t="s">
        <v>8</v>
      </c>
      <c r="K316" s="40" t="s">
        <v>6</v>
      </c>
      <c r="L316" s="41" t="s">
        <v>2688</v>
      </c>
      <c r="M316" s="7" t="s">
        <v>2653</v>
      </c>
      <c r="N316" s="42" t="s">
        <v>1113</v>
      </c>
      <c r="O316" s="42"/>
      <c r="P316" s="42" t="s">
        <v>160</v>
      </c>
      <c r="Q316" s="44" t="s">
        <v>1140</v>
      </c>
      <c r="U316" s="19">
        <v>1</v>
      </c>
      <c r="V316" s="42" t="s">
        <v>160</v>
      </c>
      <c r="W316" s="42" t="s">
        <v>160</v>
      </c>
      <c r="X316" s="42" t="s">
        <v>160</v>
      </c>
      <c r="Y316" s="42" t="s">
        <v>160</v>
      </c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19" t="s">
        <v>160</v>
      </c>
      <c r="AU316" s="19" t="s">
        <v>160</v>
      </c>
      <c r="AX316" s="19" t="s">
        <v>160</v>
      </c>
      <c r="AY316" s="19" t="s">
        <v>160</v>
      </c>
      <c r="AZ316" s="42"/>
      <c r="BA316" s="42"/>
      <c r="BB316" s="42"/>
      <c r="BC316" s="42"/>
      <c r="BD316" s="42"/>
      <c r="BE316" s="42"/>
    </row>
    <row r="317" spans="1:57" s="94" customFormat="1" x14ac:dyDescent="0.25">
      <c r="A317" s="94" t="s">
        <v>2773</v>
      </c>
      <c r="B317" s="139" t="s">
        <v>3045</v>
      </c>
      <c r="C317" s="110" t="s">
        <v>862</v>
      </c>
      <c r="D317" s="102" t="s">
        <v>725</v>
      </c>
      <c r="E317" s="81">
        <f>57+45/60+43/3600</f>
        <v>57.761944444444445</v>
      </c>
      <c r="F317" s="81">
        <f>12+0/60+13.75/3600</f>
        <v>12.003819444444444</v>
      </c>
      <c r="G317" s="81"/>
      <c r="H317" s="105" t="s">
        <v>150</v>
      </c>
      <c r="I317" s="113" t="s">
        <v>2245</v>
      </c>
      <c r="J317" s="113" t="s">
        <v>8</v>
      </c>
      <c r="K317" s="105" t="s">
        <v>6</v>
      </c>
      <c r="L317" s="105" t="s">
        <v>2030</v>
      </c>
      <c r="M317" s="105" t="s">
        <v>2653</v>
      </c>
      <c r="N317" s="106" t="s">
        <v>1124</v>
      </c>
      <c r="O317" s="106"/>
      <c r="P317" s="106" t="s">
        <v>160</v>
      </c>
      <c r="Q317" s="103" t="s">
        <v>1141</v>
      </c>
      <c r="R317" s="108"/>
      <c r="S317" s="108" t="s">
        <v>160</v>
      </c>
      <c r="T317" s="108" t="s">
        <v>160</v>
      </c>
      <c r="U317" s="106">
        <v>3</v>
      </c>
      <c r="V317" s="103" t="s">
        <v>160</v>
      </c>
      <c r="W317" s="103" t="s">
        <v>160</v>
      </c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  <c r="BD317" s="103"/>
      <c r="BE317" s="103"/>
    </row>
    <row r="318" spans="1:57" x14ac:dyDescent="0.25">
      <c r="A318" s="9" t="s">
        <v>8</v>
      </c>
      <c r="B318" s="142">
        <v>33094</v>
      </c>
      <c r="C318" s="23" t="s">
        <v>862</v>
      </c>
      <c r="D318" s="24" t="s">
        <v>725</v>
      </c>
      <c r="E318" s="193">
        <v>57.761899999999997</v>
      </c>
      <c r="F318" s="193">
        <v>12.0038</v>
      </c>
      <c r="G318" s="43"/>
      <c r="H318" s="7" t="s">
        <v>150</v>
      </c>
      <c r="I318" s="41" t="s">
        <v>2245</v>
      </c>
      <c r="J318" s="41" t="s">
        <v>8</v>
      </c>
      <c r="K318" s="7" t="s">
        <v>6</v>
      </c>
      <c r="L318" s="7" t="s">
        <v>2030</v>
      </c>
      <c r="M318" s="7" t="s">
        <v>2653</v>
      </c>
      <c r="N318" s="42" t="s">
        <v>1124</v>
      </c>
      <c r="O318" s="42"/>
      <c r="P318" s="42" t="s">
        <v>160</v>
      </c>
      <c r="Q318" s="20" t="s">
        <v>1141</v>
      </c>
      <c r="S318" s="19" t="s">
        <v>160</v>
      </c>
      <c r="T318" s="19" t="s">
        <v>160</v>
      </c>
      <c r="U318" s="42">
        <v>3</v>
      </c>
      <c r="V318" s="20" t="s">
        <v>160</v>
      </c>
      <c r="W318" s="20" t="s">
        <v>160</v>
      </c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</row>
    <row r="319" spans="1:57" x14ac:dyDescent="0.25">
      <c r="A319" s="53" t="s">
        <v>2763</v>
      </c>
      <c r="B319" s="138">
        <v>2508</v>
      </c>
      <c r="C319" s="53" t="s">
        <v>979</v>
      </c>
      <c r="D319" s="53" t="s">
        <v>980</v>
      </c>
      <c r="E319" s="66">
        <f>57+43/60</f>
        <v>57.716666666666669</v>
      </c>
      <c r="F319" s="35">
        <f>11+58/60</f>
        <v>11.966666666666667</v>
      </c>
      <c r="G319" s="53"/>
      <c r="H319" s="9" t="s">
        <v>149</v>
      </c>
      <c r="I319" s="53" t="s">
        <v>8</v>
      </c>
      <c r="J319" s="53" t="s">
        <v>8</v>
      </c>
      <c r="K319" s="7" t="s">
        <v>6</v>
      </c>
      <c r="L319" s="7" t="s">
        <v>2030</v>
      </c>
      <c r="M319" s="7" t="s">
        <v>717</v>
      </c>
      <c r="N319" s="42" t="s">
        <v>1125</v>
      </c>
      <c r="O319" s="42"/>
      <c r="P319" s="42"/>
      <c r="Q319" s="19" t="s">
        <v>1142</v>
      </c>
      <c r="R319" s="44" t="s">
        <v>1593</v>
      </c>
      <c r="U319" s="42">
        <v>4</v>
      </c>
      <c r="V319" s="20" t="s">
        <v>160</v>
      </c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94" customFormat="1" x14ac:dyDescent="0.25">
      <c r="A320" s="94" t="s">
        <v>2773</v>
      </c>
      <c r="B320" s="139">
        <v>2508</v>
      </c>
      <c r="C320" s="110" t="s">
        <v>979</v>
      </c>
      <c r="D320" s="102" t="s">
        <v>980</v>
      </c>
      <c r="E320" s="133">
        <f>57+43/60+4.5/3600</f>
        <v>57.717916666666667</v>
      </c>
      <c r="F320" s="133">
        <f>11+58/60+5/3600</f>
        <v>11.968055555555555</v>
      </c>
      <c r="G320" s="81"/>
      <c r="H320" s="94" t="s">
        <v>149</v>
      </c>
      <c r="I320" s="105" t="s">
        <v>8</v>
      </c>
      <c r="J320" s="105" t="s">
        <v>8</v>
      </c>
      <c r="K320" s="105" t="s">
        <v>6</v>
      </c>
      <c r="L320" s="105" t="s">
        <v>2030</v>
      </c>
      <c r="M320" s="105" t="s">
        <v>717</v>
      </c>
      <c r="N320" s="106" t="s">
        <v>1125</v>
      </c>
      <c r="O320" s="106"/>
      <c r="P320" s="106"/>
      <c r="Q320" s="108" t="s">
        <v>1142</v>
      </c>
      <c r="R320" s="107" t="s">
        <v>1593</v>
      </c>
      <c r="S320" s="108"/>
      <c r="T320" s="108"/>
      <c r="U320" s="106">
        <v>4</v>
      </c>
      <c r="V320" s="103" t="s">
        <v>160</v>
      </c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  <c r="BD320" s="103"/>
      <c r="BE320" s="103"/>
    </row>
    <row r="321" spans="1:57" x14ac:dyDescent="0.25">
      <c r="A321" s="9" t="s">
        <v>8</v>
      </c>
      <c r="B321" s="142">
        <v>2508</v>
      </c>
      <c r="C321" s="23" t="s">
        <v>979</v>
      </c>
      <c r="D321" s="24" t="s">
        <v>980</v>
      </c>
      <c r="E321" s="195">
        <v>57.72</v>
      </c>
      <c r="F321" s="195">
        <v>11.97</v>
      </c>
      <c r="G321" s="43"/>
      <c r="H321" s="9" t="s">
        <v>149</v>
      </c>
      <c r="I321" s="7" t="s">
        <v>8</v>
      </c>
      <c r="J321" s="7" t="s">
        <v>8</v>
      </c>
      <c r="K321" s="7" t="s">
        <v>6</v>
      </c>
      <c r="L321" s="7" t="s">
        <v>2030</v>
      </c>
      <c r="M321" s="7" t="s">
        <v>717</v>
      </c>
      <c r="N321" s="42" t="s">
        <v>1125</v>
      </c>
      <c r="O321" s="42"/>
      <c r="P321" s="42"/>
      <c r="Q321" s="19" t="s">
        <v>1142</v>
      </c>
      <c r="R321" s="44" t="s">
        <v>1593</v>
      </c>
      <c r="U321" s="42">
        <v>4</v>
      </c>
      <c r="V321" s="20" t="s">
        <v>160</v>
      </c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</row>
    <row r="322" spans="1:57" x14ac:dyDescent="0.25">
      <c r="A322" s="9" t="s">
        <v>707</v>
      </c>
      <c r="B322" s="137" t="s">
        <v>624</v>
      </c>
      <c r="C322" s="23" t="s">
        <v>879</v>
      </c>
      <c r="D322" s="40" t="s">
        <v>625</v>
      </c>
      <c r="E322" s="46" t="s">
        <v>627</v>
      </c>
      <c r="F322" s="46" t="s">
        <v>626</v>
      </c>
      <c r="G322" s="40"/>
      <c r="H322" s="9" t="s">
        <v>149</v>
      </c>
      <c r="I322" s="41" t="s">
        <v>2245</v>
      </c>
      <c r="J322" s="41" t="s">
        <v>169</v>
      </c>
      <c r="K322" s="40" t="s">
        <v>6</v>
      </c>
      <c r="L322" s="41" t="s">
        <v>2030</v>
      </c>
      <c r="M322" s="7" t="s">
        <v>2653</v>
      </c>
      <c r="N322" s="42" t="s">
        <v>1123</v>
      </c>
      <c r="O322" s="42" t="s">
        <v>160</v>
      </c>
      <c r="P322" s="42" t="s">
        <v>160</v>
      </c>
      <c r="Q322" s="44" t="s">
        <v>1143</v>
      </c>
      <c r="S322" s="19" t="s">
        <v>160</v>
      </c>
      <c r="T322" s="19" t="s">
        <v>160</v>
      </c>
      <c r="U322" s="19">
        <v>2</v>
      </c>
      <c r="V322" s="42" t="s">
        <v>160</v>
      </c>
      <c r="W322" s="42" t="s">
        <v>160</v>
      </c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Z322" s="42"/>
      <c r="BA322" s="42"/>
      <c r="BB322" s="42"/>
      <c r="BC322" s="42"/>
      <c r="BD322" s="42"/>
      <c r="BE322" s="42"/>
    </row>
    <row r="323" spans="1:57" x14ac:dyDescent="0.25">
      <c r="A323" s="9" t="s">
        <v>707</v>
      </c>
      <c r="B323" s="39" t="s">
        <v>620</v>
      </c>
      <c r="C323" s="23" t="s">
        <v>879</v>
      </c>
      <c r="D323" s="40" t="s">
        <v>621</v>
      </c>
      <c r="E323" s="46" t="s">
        <v>623</v>
      </c>
      <c r="F323" s="46" t="s">
        <v>622</v>
      </c>
      <c r="G323" s="40"/>
      <c r="H323" s="9" t="s">
        <v>149</v>
      </c>
      <c r="I323" s="41" t="s">
        <v>169</v>
      </c>
      <c r="J323" s="41" t="s">
        <v>169</v>
      </c>
      <c r="K323" s="40" t="s">
        <v>5</v>
      </c>
      <c r="L323" s="41" t="s">
        <v>2043</v>
      </c>
      <c r="M323" s="7" t="s">
        <v>2653</v>
      </c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 t="s">
        <v>160</v>
      </c>
      <c r="AS323" s="42" t="s">
        <v>160</v>
      </c>
      <c r="AZ323" s="42"/>
      <c r="BA323" s="42"/>
      <c r="BB323" s="42"/>
      <c r="BC323" s="42"/>
      <c r="BD323" s="42"/>
      <c r="BE323" s="42"/>
    </row>
    <row r="324" spans="1:57" x14ac:dyDescent="0.25">
      <c r="A324" s="53" t="s">
        <v>2763</v>
      </c>
      <c r="B324" s="143">
        <v>33093</v>
      </c>
      <c r="C324" s="85" t="s">
        <v>879</v>
      </c>
      <c r="D324" s="85" t="s">
        <v>724</v>
      </c>
      <c r="E324" s="66">
        <f>57+43/60+23.254/3600</f>
        <v>57.723126111111114</v>
      </c>
      <c r="F324" s="124">
        <f>11+59/60+13.024/3600</f>
        <v>11.986951111111111</v>
      </c>
      <c r="G324" s="85">
        <v>3.56</v>
      </c>
      <c r="H324" s="9" t="s">
        <v>149</v>
      </c>
      <c r="I324" s="41" t="s">
        <v>2245</v>
      </c>
      <c r="J324" s="85" t="s">
        <v>2747</v>
      </c>
      <c r="K324" s="7" t="s">
        <v>6</v>
      </c>
      <c r="L324" s="7" t="s">
        <v>2030</v>
      </c>
      <c r="M324" s="7" t="s">
        <v>2653</v>
      </c>
      <c r="N324" s="42" t="s">
        <v>1123</v>
      </c>
      <c r="O324" s="42" t="s">
        <v>160</v>
      </c>
      <c r="P324" s="42" t="s">
        <v>160</v>
      </c>
      <c r="Q324" s="44" t="s">
        <v>1143</v>
      </c>
      <c r="S324" s="19" t="s">
        <v>160</v>
      </c>
      <c r="T324" s="19" t="s">
        <v>160</v>
      </c>
      <c r="U324" s="42">
        <v>2</v>
      </c>
      <c r="V324" s="20" t="s">
        <v>160</v>
      </c>
      <c r="W324" s="20" t="s">
        <v>160</v>
      </c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  <c r="BE324" s="85"/>
    </row>
    <row r="325" spans="1:57" s="94" customFormat="1" x14ac:dyDescent="0.25">
      <c r="A325" s="105" t="s">
        <v>2773</v>
      </c>
      <c r="B325" s="139" t="s">
        <v>2791</v>
      </c>
      <c r="C325" s="110" t="s">
        <v>879</v>
      </c>
      <c r="D325" s="153" t="s">
        <v>724</v>
      </c>
      <c r="E325" s="81">
        <f>57+43/60+23.32/3600</f>
        <v>57.723144444444443</v>
      </c>
      <c r="F325" s="81">
        <f>11+59/60+12.92/3600</f>
        <v>11.986922222222221</v>
      </c>
      <c r="G325" s="178">
        <v>3.56</v>
      </c>
      <c r="H325" s="94" t="s">
        <v>149</v>
      </c>
      <c r="I325" s="113" t="s">
        <v>2245</v>
      </c>
      <c r="J325" s="113" t="s">
        <v>169</v>
      </c>
      <c r="K325" s="105" t="s">
        <v>40</v>
      </c>
      <c r="L325" s="105" t="s">
        <v>2030</v>
      </c>
      <c r="M325" s="105" t="s">
        <v>2653</v>
      </c>
      <c r="N325" s="106" t="s">
        <v>1123</v>
      </c>
      <c r="O325" s="106" t="s">
        <v>160</v>
      </c>
      <c r="P325" s="106" t="s">
        <v>160</v>
      </c>
      <c r="Q325" s="107" t="s">
        <v>1143</v>
      </c>
      <c r="R325" s="108"/>
      <c r="S325" s="108" t="s">
        <v>160</v>
      </c>
      <c r="T325" s="108" t="s">
        <v>160</v>
      </c>
      <c r="U325" s="106">
        <v>2</v>
      </c>
      <c r="V325" s="103" t="s">
        <v>160</v>
      </c>
      <c r="W325" s="103" t="s">
        <v>160</v>
      </c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 t="s">
        <v>160</v>
      </c>
      <c r="AS325" s="103" t="s">
        <v>160</v>
      </c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  <c r="BD325" s="103"/>
      <c r="BE325" s="103"/>
    </row>
    <row r="326" spans="1:57" x14ac:dyDescent="0.25">
      <c r="A326" s="7" t="s">
        <v>8</v>
      </c>
      <c r="B326" s="142" t="s">
        <v>2880</v>
      </c>
      <c r="C326" s="23" t="s">
        <v>879</v>
      </c>
      <c r="D326" s="24" t="s">
        <v>724</v>
      </c>
      <c r="E326" s="193">
        <v>57.723100000000002</v>
      </c>
      <c r="F326" s="193">
        <v>11.9869</v>
      </c>
      <c r="G326" s="43"/>
      <c r="H326" s="9" t="s">
        <v>149</v>
      </c>
      <c r="I326" s="41" t="s">
        <v>2245</v>
      </c>
      <c r="J326" s="41" t="s">
        <v>169</v>
      </c>
      <c r="K326" s="7" t="s">
        <v>40</v>
      </c>
      <c r="L326" s="7" t="s">
        <v>2054</v>
      </c>
      <c r="M326" s="7" t="s">
        <v>2653</v>
      </c>
      <c r="N326" s="42" t="s">
        <v>1123</v>
      </c>
      <c r="O326" s="42" t="s">
        <v>160</v>
      </c>
      <c r="P326" s="42" t="s">
        <v>160</v>
      </c>
      <c r="Q326" s="44" t="s">
        <v>1143</v>
      </c>
      <c r="S326" s="19" t="s">
        <v>160</v>
      </c>
      <c r="T326" s="19" t="s">
        <v>160</v>
      </c>
      <c r="U326" s="42">
        <v>2</v>
      </c>
      <c r="V326" s="20" t="s">
        <v>160</v>
      </c>
      <c r="W326" s="20" t="s">
        <v>160</v>
      </c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 t="s">
        <v>160</v>
      </c>
      <c r="AS326" s="20" t="s">
        <v>160</v>
      </c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</row>
    <row r="327" spans="1:57" x14ac:dyDescent="0.25">
      <c r="A327" s="9" t="s">
        <v>706</v>
      </c>
      <c r="B327" s="140">
        <v>124</v>
      </c>
      <c r="C327" s="23" t="s">
        <v>879</v>
      </c>
      <c r="D327" s="62" t="s">
        <v>785</v>
      </c>
      <c r="E327" s="35">
        <f>57+43/60+19/3600</f>
        <v>57.721944444444446</v>
      </c>
      <c r="F327" s="35">
        <f>11+59/60+19/3600</f>
        <v>11.98861111111111</v>
      </c>
      <c r="G327" s="43"/>
      <c r="H327" s="9" t="s">
        <v>149</v>
      </c>
      <c r="I327" s="41" t="s">
        <v>3044</v>
      </c>
      <c r="J327" s="41" t="s">
        <v>169</v>
      </c>
      <c r="K327" s="9" t="s">
        <v>40</v>
      </c>
      <c r="L327" s="7" t="s">
        <v>2054</v>
      </c>
      <c r="M327" s="7" t="s">
        <v>2653</v>
      </c>
      <c r="N327" s="42" t="s">
        <v>1123</v>
      </c>
      <c r="O327" s="42" t="s">
        <v>160</v>
      </c>
      <c r="P327" s="42" t="s">
        <v>160</v>
      </c>
      <c r="Q327" s="44" t="s">
        <v>1143</v>
      </c>
      <c r="S327" s="19" t="s">
        <v>160</v>
      </c>
      <c r="T327" s="19" t="s">
        <v>160</v>
      </c>
      <c r="U327" s="19">
        <v>2</v>
      </c>
      <c r="V327" s="19" t="s">
        <v>160</v>
      </c>
      <c r="W327" s="19" t="s">
        <v>160</v>
      </c>
      <c r="AR327" s="19" t="s">
        <v>160</v>
      </c>
      <c r="AS327" s="19" t="s">
        <v>160</v>
      </c>
      <c r="BB327" s="19"/>
      <c r="BC327" s="19"/>
      <c r="BD327" s="19"/>
      <c r="BE327" s="19"/>
    </row>
    <row r="328" spans="1:57" s="94" customFormat="1" x14ac:dyDescent="0.25">
      <c r="A328" s="94" t="s">
        <v>2773</v>
      </c>
      <c r="B328" s="139">
        <v>2109</v>
      </c>
      <c r="C328" s="110" t="s">
        <v>935</v>
      </c>
      <c r="D328" s="184" t="s">
        <v>722</v>
      </c>
      <c r="E328" s="81">
        <f>57+41/60+4.8/3600</f>
        <v>57.684666666666665</v>
      </c>
      <c r="F328" s="81">
        <f>11+47/60+26.6/3600</f>
        <v>11.790722222222222</v>
      </c>
      <c r="G328" s="81"/>
      <c r="H328" s="105" t="s">
        <v>150</v>
      </c>
      <c r="I328" s="105" t="s">
        <v>8</v>
      </c>
      <c r="J328" s="105" t="s">
        <v>8</v>
      </c>
      <c r="K328" s="105" t="s">
        <v>6</v>
      </c>
      <c r="L328" s="105" t="s">
        <v>2030</v>
      </c>
      <c r="M328" s="105" t="s">
        <v>717</v>
      </c>
      <c r="N328" s="106" t="s">
        <v>2637</v>
      </c>
      <c r="O328" s="106"/>
      <c r="P328" s="106" t="s">
        <v>160</v>
      </c>
      <c r="Q328" s="107" t="s">
        <v>1144</v>
      </c>
      <c r="R328" s="107" t="s">
        <v>1592</v>
      </c>
      <c r="S328" s="108" t="s">
        <v>160</v>
      </c>
      <c r="T328" s="108" t="s">
        <v>160</v>
      </c>
      <c r="U328" s="106">
        <v>4</v>
      </c>
      <c r="V328" s="103" t="s">
        <v>160</v>
      </c>
      <c r="W328" s="103"/>
      <c r="X328" s="103" t="s">
        <v>160</v>
      </c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  <c r="BD328" s="103"/>
      <c r="BE328" s="103"/>
    </row>
    <row r="329" spans="1:57" x14ac:dyDescent="0.25">
      <c r="A329" s="9" t="s">
        <v>8</v>
      </c>
      <c r="B329" s="142">
        <v>2109</v>
      </c>
      <c r="C329" s="23" t="s">
        <v>935</v>
      </c>
      <c r="D329" t="s">
        <v>722</v>
      </c>
      <c r="E329" s="193">
        <v>57.684600000000003</v>
      </c>
      <c r="F329" s="193">
        <v>11.790699999999999</v>
      </c>
      <c r="G329" s="43"/>
      <c r="H329" s="7" t="s">
        <v>150</v>
      </c>
      <c r="I329" s="7" t="s">
        <v>8</v>
      </c>
      <c r="J329" s="7" t="s">
        <v>8</v>
      </c>
      <c r="K329" s="7" t="s">
        <v>6</v>
      </c>
      <c r="L329" s="7" t="s">
        <v>2030</v>
      </c>
      <c r="M329" s="7" t="s">
        <v>717</v>
      </c>
      <c r="N329" s="42" t="s">
        <v>2637</v>
      </c>
      <c r="O329" s="42"/>
      <c r="P329" s="42" t="s">
        <v>160</v>
      </c>
      <c r="Q329" s="44" t="s">
        <v>1144</v>
      </c>
      <c r="R329" s="44" t="s">
        <v>1592</v>
      </c>
      <c r="S329" s="19" t="s">
        <v>160</v>
      </c>
      <c r="T329" s="19" t="s">
        <v>160</v>
      </c>
      <c r="U329" s="42">
        <v>4</v>
      </c>
      <c r="V329" s="20" t="s">
        <v>160</v>
      </c>
      <c r="W329" s="20"/>
      <c r="X329" s="20" t="s">
        <v>160</v>
      </c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</row>
    <row r="330" spans="1:57" x14ac:dyDescent="0.25">
      <c r="A330" s="6" t="s">
        <v>8</v>
      </c>
      <c r="B330" s="9">
        <v>89240</v>
      </c>
      <c r="C330" s="9" t="s">
        <v>2397</v>
      </c>
      <c r="D330" s="9" t="s">
        <v>1390</v>
      </c>
      <c r="E330" s="3">
        <v>58.392800000000001</v>
      </c>
      <c r="F330" s="3">
        <v>19.196999999999999</v>
      </c>
      <c r="G330" s="9">
        <v>12</v>
      </c>
      <c r="H330" s="9" t="s">
        <v>150</v>
      </c>
      <c r="I330" s="6" t="s">
        <v>8</v>
      </c>
      <c r="J330" s="21" t="s">
        <v>8</v>
      </c>
      <c r="K330" s="3" t="s">
        <v>5</v>
      </c>
      <c r="L330" s="5" t="s">
        <v>2680</v>
      </c>
      <c r="M330" s="7" t="s">
        <v>717</v>
      </c>
      <c r="N330" s="19" t="s">
        <v>2473</v>
      </c>
      <c r="P330" s="19" t="s">
        <v>160</v>
      </c>
      <c r="AR330" s="19" t="s">
        <v>160</v>
      </c>
      <c r="AT330" s="19" t="s">
        <v>160</v>
      </c>
      <c r="AV330" s="19" t="s">
        <v>160</v>
      </c>
      <c r="AX330" s="19" t="s">
        <v>160</v>
      </c>
      <c r="AZ330" s="19" t="s">
        <v>160</v>
      </c>
      <c r="BB330" s="19"/>
      <c r="BC330" s="19"/>
      <c r="BD330" s="19"/>
      <c r="BE330" s="19"/>
    </row>
    <row r="331" spans="1:57" s="94" customFormat="1" x14ac:dyDescent="0.25">
      <c r="A331" s="32" t="s">
        <v>707</v>
      </c>
      <c r="B331" s="33"/>
      <c r="C331" s="33" t="s">
        <v>1391</v>
      </c>
      <c r="D331" s="33" t="s">
        <v>1392</v>
      </c>
      <c r="E331" s="35"/>
      <c r="F331" s="35"/>
      <c r="G331" s="33"/>
      <c r="H331" s="33" t="s">
        <v>150</v>
      </c>
      <c r="I331" s="21" t="s">
        <v>8</v>
      </c>
      <c r="J331" s="32" t="s">
        <v>8</v>
      </c>
      <c r="K331" s="35" t="s">
        <v>5</v>
      </c>
      <c r="L331" s="35" t="s">
        <v>2043</v>
      </c>
      <c r="M331" s="33" t="s">
        <v>2653</v>
      </c>
      <c r="N331" s="37" t="s">
        <v>2303</v>
      </c>
      <c r="O331" s="37"/>
      <c r="P331" s="37" t="s">
        <v>160</v>
      </c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 t="s">
        <v>160</v>
      </c>
      <c r="AS331" s="37" t="s">
        <v>160</v>
      </c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</row>
    <row r="332" spans="1:57" x14ac:dyDescent="0.25">
      <c r="A332" s="114" t="s">
        <v>2773</v>
      </c>
      <c r="B332" s="94" t="s">
        <v>2852</v>
      </c>
      <c r="C332" s="94" t="s">
        <v>1391</v>
      </c>
      <c r="D332" s="153" t="s">
        <v>1392</v>
      </c>
      <c r="E332" s="93">
        <f>58+23/60+38.04/3600</f>
        <v>58.393900000000002</v>
      </c>
      <c r="F332" s="93">
        <f>19+11/60+38.4/3600</f>
        <v>19.193999999999999</v>
      </c>
      <c r="G332" s="94">
        <v>15.911</v>
      </c>
      <c r="H332" s="94" t="s">
        <v>150</v>
      </c>
      <c r="I332" s="122" t="s">
        <v>8</v>
      </c>
      <c r="J332" s="122" t="s">
        <v>8</v>
      </c>
      <c r="K332" s="82" t="s">
        <v>5</v>
      </c>
      <c r="L332" s="93" t="s">
        <v>2680</v>
      </c>
      <c r="M332" s="105" t="s">
        <v>2653</v>
      </c>
      <c r="N332" s="108" t="s">
        <v>2303</v>
      </c>
      <c r="O332" s="108"/>
      <c r="P332" s="108" t="s">
        <v>160</v>
      </c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/>
      <c r="AD332" s="108"/>
      <c r="AE332" s="108"/>
      <c r="AF332" s="108"/>
      <c r="AG332" s="108"/>
      <c r="AH332" s="108"/>
      <c r="AI332" s="108"/>
      <c r="AJ332" s="108"/>
      <c r="AK332" s="108"/>
      <c r="AL332" s="108"/>
      <c r="AM332" s="108"/>
      <c r="AN332" s="108"/>
      <c r="AO332" s="108"/>
      <c r="AP332" s="108"/>
      <c r="AQ332" s="108"/>
      <c r="AR332" s="108" t="s">
        <v>160</v>
      </c>
      <c r="AS332" s="108" t="s">
        <v>160</v>
      </c>
      <c r="AT332" s="108" t="s">
        <v>160</v>
      </c>
      <c r="AU332" s="108" t="s">
        <v>160</v>
      </c>
      <c r="AV332" s="108" t="s">
        <v>160</v>
      </c>
      <c r="AW332" s="108" t="s">
        <v>160</v>
      </c>
      <c r="AX332" s="108" t="s">
        <v>160</v>
      </c>
      <c r="AY332" s="108" t="s">
        <v>160</v>
      </c>
      <c r="AZ332" s="108" t="s">
        <v>160</v>
      </c>
      <c r="BA332" s="108" t="s">
        <v>160</v>
      </c>
      <c r="BB332" s="108"/>
      <c r="BC332" s="108"/>
      <c r="BD332" s="108"/>
      <c r="BE332" s="108"/>
    </row>
    <row r="333" spans="1:57" s="33" customFormat="1" x14ac:dyDescent="0.25">
      <c r="A333" s="6" t="s">
        <v>8</v>
      </c>
      <c r="B333" s="9">
        <v>89230</v>
      </c>
      <c r="C333" s="9" t="s">
        <v>1391</v>
      </c>
      <c r="D333" s="9" t="s">
        <v>1392</v>
      </c>
      <c r="E333" s="159">
        <f>58+23/60+38.04/3600</f>
        <v>58.393900000000002</v>
      </c>
      <c r="F333" s="159">
        <f>19+11/60+38.4/3600</f>
        <v>19.193999999999999</v>
      </c>
      <c r="G333" s="9">
        <v>15.911</v>
      </c>
      <c r="H333" s="9" t="s">
        <v>150</v>
      </c>
      <c r="I333" s="21" t="s">
        <v>8</v>
      </c>
      <c r="J333" s="21" t="s">
        <v>8</v>
      </c>
      <c r="K333" s="3" t="s">
        <v>5</v>
      </c>
      <c r="L333" s="5" t="s">
        <v>2680</v>
      </c>
      <c r="M333" s="7" t="s">
        <v>2653</v>
      </c>
      <c r="N333" s="19" t="s">
        <v>2303</v>
      </c>
      <c r="O333" s="19"/>
      <c r="P333" s="19" t="s">
        <v>160</v>
      </c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 t="s">
        <v>160</v>
      </c>
      <c r="AS333" s="19" t="s">
        <v>160</v>
      </c>
      <c r="AT333" s="19" t="s">
        <v>160</v>
      </c>
      <c r="AU333" s="19" t="s">
        <v>160</v>
      </c>
      <c r="AV333" s="19" t="s">
        <v>160</v>
      </c>
      <c r="AW333" s="19" t="s">
        <v>160</v>
      </c>
      <c r="AX333" s="19" t="s">
        <v>160</v>
      </c>
      <c r="AY333" s="19" t="s">
        <v>160</v>
      </c>
      <c r="AZ333" s="19" t="s">
        <v>160</v>
      </c>
      <c r="BA333" s="19" t="s">
        <v>160</v>
      </c>
      <c r="BB333" s="19"/>
      <c r="BC333" s="19"/>
      <c r="BD333" s="19"/>
      <c r="BE333" s="19"/>
    </row>
    <row r="334" spans="1:57" x14ac:dyDescent="0.25">
      <c r="A334" s="6" t="s">
        <v>706</v>
      </c>
      <c r="B334" s="9">
        <v>211</v>
      </c>
      <c r="C334" s="9" t="s">
        <v>1391</v>
      </c>
      <c r="D334" s="62" t="s">
        <v>2660</v>
      </c>
      <c r="E334" s="3">
        <f>58+23/60+38/3600</f>
        <v>58.393888888888888</v>
      </c>
      <c r="F334" s="3">
        <f>19+11/60+38/3600</f>
        <v>19.193888888888889</v>
      </c>
      <c r="G334" s="9"/>
      <c r="H334" s="9" t="s">
        <v>150</v>
      </c>
      <c r="I334" s="21" t="s">
        <v>8</v>
      </c>
      <c r="J334" s="21" t="s">
        <v>8</v>
      </c>
      <c r="K334" s="3" t="s">
        <v>5</v>
      </c>
      <c r="L334" s="5" t="s">
        <v>2043</v>
      </c>
      <c r="M334" s="7" t="s">
        <v>2653</v>
      </c>
      <c r="N334" s="19" t="s">
        <v>2303</v>
      </c>
      <c r="P334" s="19" t="s">
        <v>160</v>
      </c>
      <c r="AR334" s="19" t="s">
        <v>160</v>
      </c>
      <c r="AS334" s="19" t="s">
        <v>160</v>
      </c>
      <c r="BB334" s="19"/>
      <c r="BC334" s="19"/>
      <c r="BD334" s="19"/>
      <c r="BE334" s="19"/>
    </row>
    <row r="335" spans="1:57" x14ac:dyDescent="0.25">
      <c r="A335" s="6" t="s">
        <v>8</v>
      </c>
      <c r="B335" s="9">
        <v>127600</v>
      </c>
      <c r="C335" s="9" t="s">
        <v>2367</v>
      </c>
      <c r="D335" s="9" t="s">
        <v>1393</v>
      </c>
      <c r="E335" s="3">
        <v>62.016599999999997</v>
      </c>
      <c r="F335" s="3">
        <v>17.633299999999998</v>
      </c>
      <c r="G335" s="9">
        <v>20</v>
      </c>
      <c r="H335" s="9" t="s">
        <v>150</v>
      </c>
      <c r="I335" s="6" t="s">
        <v>8</v>
      </c>
      <c r="J335" s="21" t="s">
        <v>8</v>
      </c>
      <c r="K335" s="3" t="s">
        <v>5</v>
      </c>
      <c r="L335" s="5" t="s">
        <v>2681</v>
      </c>
      <c r="M335" s="7" t="s">
        <v>717</v>
      </c>
      <c r="N335" s="19" t="s">
        <v>2474</v>
      </c>
      <c r="P335" s="19" t="s">
        <v>160</v>
      </c>
      <c r="AR335" s="19" t="s">
        <v>160</v>
      </c>
      <c r="AT335" s="19" t="s">
        <v>160</v>
      </c>
      <c r="AX335" s="19" t="s">
        <v>160</v>
      </c>
      <c r="AZ335" s="19" t="s">
        <v>160</v>
      </c>
      <c r="BB335" s="19"/>
      <c r="BC335" s="19"/>
      <c r="BD335" s="19"/>
      <c r="BE335" s="19"/>
    </row>
    <row r="336" spans="1:57" x14ac:dyDescent="0.25">
      <c r="A336" s="9" t="s">
        <v>8</v>
      </c>
      <c r="B336" s="26">
        <v>35021</v>
      </c>
      <c r="C336" s="24" t="s">
        <v>1064</v>
      </c>
      <c r="D336" t="s">
        <v>1065</v>
      </c>
      <c r="E336" s="25">
        <f>58+53/60</f>
        <v>58.883333333333333</v>
      </c>
      <c r="F336" s="25">
        <f>10+50/60</f>
        <v>10.833333333333334</v>
      </c>
      <c r="G336" s="9"/>
      <c r="H336" s="9" t="s">
        <v>150</v>
      </c>
      <c r="I336" s="9" t="s">
        <v>8</v>
      </c>
      <c r="J336" s="7" t="s">
        <v>8</v>
      </c>
      <c r="K336" s="10" t="s">
        <v>953</v>
      </c>
      <c r="L336" s="7" t="s">
        <v>2685</v>
      </c>
      <c r="M336" s="7" t="s">
        <v>717</v>
      </c>
      <c r="N336" s="42" t="s">
        <v>1337</v>
      </c>
      <c r="O336" s="42"/>
      <c r="P336" s="42"/>
      <c r="S336" s="19" t="s">
        <v>160</v>
      </c>
      <c r="T336" s="19" t="s">
        <v>160</v>
      </c>
      <c r="U336" s="42"/>
      <c r="X336" s="19" t="s">
        <v>160</v>
      </c>
      <c r="Z336" s="19" t="s">
        <v>160</v>
      </c>
      <c r="AL336" s="19" t="s">
        <v>160</v>
      </c>
      <c r="AR336" s="19" t="s">
        <v>160</v>
      </c>
      <c r="AT336" s="19" t="s">
        <v>160</v>
      </c>
      <c r="BB336" s="19"/>
      <c r="BC336" s="19"/>
      <c r="BD336" s="19"/>
      <c r="BE336" s="19"/>
    </row>
    <row r="337" spans="1:57" s="94" customFormat="1" x14ac:dyDescent="0.25">
      <c r="A337" s="98" t="s">
        <v>2773</v>
      </c>
      <c r="B337" s="135">
        <v>2087</v>
      </c>
      <c r="C337" s="98" t="s">
        <v>1265</v>
      </c>
      <c r="D337" s="98" t="s">
        <v>1229</v>
      </c>
      <c r="E337" s="189">
        <f>56+16/60+12/3600</f>
        <v>56.269999999999996</v>
      </c>
      <c r="F337" s="189">
        <f>16+24/60</f>
        <v>16.399999999999999</v>
      </c>
      <c r="G337" s="101"/>
      <c r="H337" s="98" t="s">
        <v>150</v>
      </c>
      <c r="I337" s="98" t="s">
        <v>8</v>
      </c>
      <c r="J337" s="102" t="s">
        <v>8</v>
      </c>
      <c r="K337" s="98" t="s">
        <v>6</v>
      </c>
      <c r="L337" s="102" t="s">
        <v>2030</v>
      </c>
      <c r="M337" s="102" t="s">
        <v>717</v>
      </c>
      <c r="N337" s="104" t="s">
        <v>1307</v>
      </c>
      <c r="O337" s="104"/>
      <c r="P337" s="104"/>
      <c r="Q337" s="103" t="s">
        <v>1667</v>
      </c>
      <c r="R337" s="103"/>
      <c r="S337" s="103"/>
      <c r="T337" s="103"/>
      <c r="U337" s="104">
        <v>4</v>
      </c>
      <c r="V337" s="103" t="s">
        <v>160</v>
      </c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  <c r="BD337" s="103"/>
      <c r="BE337" s="103"/>
    </row>
    <row r="338" spans="1:57" x14ac:dyDescent="0.25">
      <c r="A338" s="10" t="s">
        <v>8</v>
      </c>
      <c r="B338" s="155">
        <v>2087</v>
      </c>
      <c r="C338" s="10" t="s">
        <v>1265</v>
      </c>
      <c r="D338" s="10" t="s">
        <v>1229</v>
      </c>
      <c r="E338" s="195">
        <v>56.27</v>
      </c>
      <c r="F338" s="195">
        <v>16.399999999999999</v>
      </c>
      <c r="G338" s="30"/>
      <c r="H338" s="10" t="s">
        <v>150</v>
      </c>
      <c r="I338" s="10" t="s">
        <v>8</v>
      </c>
      <c r="J338" s="24" t="s">
        <v>8</v>
      </c>
      <c r="K338" s="10" t="s">
        <v>6</v>
      </c>
      <c r="L338" s="24" t="s">
        <v>2030</v>
      </c>
      <c r="M338" s="24" t="s">
        <v>717</v>
      </c>
      <c r="N338" s="22" t="s">
        <v>1307</v>
      </c>
      <c r="O338" s="22"/>
      <c r="P338" s="22"/>
      <c r="Q338" s="20" t="s">
        <v>1667</v>
      </c>
      <c r="R338" s="20"/>
      <c r="S338" s="20"/>
      <c r="T338" s="20"/>
      <c r="U338" s="22">
        <v>4</v>
      </c>
      <c r="V338" s="20" t="s">
        <v>160</v>
      </c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</row>
    <row r="339" spans="1:57" s="94" customFormat="1" x14ac:dyDescent="0.25">
      <c r="A339" s="98" t="s">
        <v>2773</v>
      </c>
      <c r="B339" s="135">
        <v>2071</v>
      </c>
      <c r="C339" s="98" t="s">
        <v>1257</v>
      </c>
      <c r="D339" s="98" t="s">
        <v>1218</v>
      </c>
      <c r="E339" s="189">
        <f>59+16/60+48/3600</f>
        <v>59.28</v>
      </c>
      <c r="F339" s="189">
        <f>19+1/60+48/3600</f>
        <v>19.029999999999998</v>
      </c>
      <c r="G339" s="101"/>
      <c r="H339" s="98" t="s">
        <v>150</v>
      </c>
      <c r="I339" s="98" t="s">
        <v>8</v>
      </c>
      <c r="J339" s="102" t="s">
        <v>8</v>
      </c>
      <c r="K339" s="98" t="s">
        <v>6</v>
      </c>
      <c r="L339" s="102" t="s">
        <v>2030</v>
      </c>
      <c r="M339" s="102" t="s">
        <v>717</v>
      </c>
      <c r="N339" s="104" t="s">
        <v>1293</v>
      </c>
      <c r="O339" s="104"/>
      <c r="P339" s="104"/>
      <c r="Q339" s="108" t="s">
        <v>1609</v>
      </c>
      <c r="R339" s="107" t="s">
        <v>1582</v>
      </c>
      <c r="S339" s="103"/>
      <c r="T339" s="103"/>
      <c r="U339" s="104">
        <v>4</v>
      </c>
      <c r="V339" s="103" t="s">
        <v>160</v>
      </c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  <c r="BD339" s="103"/>
      <c r="BE339" s="103"/>
    </row>
    <row r="340" spans="1:57" x14ac:dyDescent="0.25">
      <c r="A340" s="10" t="s">
        <v>8</v>
      </c>
      <c r="B340" s="155">
        <v>2071</v>
      </c>
      <c r="C340" s="10" t="s">
        <v>1257</v>
      </c>
      <c r="D340" s="10" t="s">
        <v>1218</v>
      </c>
      <c r="E340" s="195">
        <v>59.28</v>
      </c>
      <c r="F340" s="195">
        <v>19.03</v>
      </c>
      <c r="G340" s="30"/>
      <c r="H340" s="10" t="s">
        <v>150</v>
      </c>
      <c r="I340" s="10" t="s">
        <v>8</v>
      </c>
      <c r="J340" s="24" t="s">
        <v>8</v>
      </c>
      <c r="K340" s="10" t="s">
        <v>6</v>
      </c>
      <c r="L340" s="24" t="s">
        <v>2030</v>
      </c>
      <c r="M340" s="24" t="s">
        <v>717</v>
      </c>
      <c r="N340" s="22" t="s">
        <v>1293</v>
      </c>
      <c r="O340" s="22"/>
      <c r="P340" s="22"/>
      <c r="Q340" s="19" t="s">
        <v>1609</v>
      </c>
      <c r="R340" s="44" t="s">
        <v>1582</v>
      </c>
      <c r="S340" s="20"/>
      <c r="T340" s="20"/>
      <c r="U340" s="22">
        <v>4</v>
      </c>
      <c r="V340" s="20" t="s">
        <v>160</v>
      </c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</row>
    <row r="341" spans="1:57" x14ac:dyDescent="0.25">
      <c r="A341" s="6" t="s">
        <v>8</v>
      </c>
      <c r="B341" s="9">
        <v>99150</v>
      </c>
      <c r="C341" s="9" t="s">
        <v>2274</v>
      </c>
      <c r="D341" s="9" t="s">
        <v>1218</v>
      </c>
      <c r="E341" s="3">
        <v>59.279200000000003</v>
      </c>
      <c r="F341" s="3">
        <v>19.0306</v>
      </c>
      <c r="G341" s="9">
        <v>9</v>
      </c>
      <c r="H341" s="9" t="s">
        <v>150</v>
      </c>
      <c r="I341" s="6" t="s">
        <v>8</v>
      </c>
      <c r="J341" s="21" t="s">
        <v>8</v>
      </c>
      <c r="K341" s="3" t="s">
        <v>5</v>
      </c>
      <c r="L341" s="5" t="s">
        <v>2689</v>
      </c>
      <c r="M341" s="7" t="s">
        <v>717</v>
      </c>
      <c r="N341" s="19" t="s">
        <v>2475</v>
      </c>
      <c r="P341" s="19" t="s">
        <v>160</v>
      </c>
      <c r="AR341" s="19" t="s">
        <v>160</v>
      </c>
      <c r="AT341" s="19" t="s">
        <v>160</v>
      </c>
      <c r="AZ341" s="19" t="s">
        <v>160</v>
      </c>
      <c r="BB341" s="19"/>
      <c r="BC341" s="19"/>
      <c r="BD341" s="19"/>
      <c r="BE341" s="19"/>
    </row>
    <row r="342" spans="1:57" x14ac:dyDescent="0.25">
      <c r="A342" s="9" t="s">
        <v>8</v>
      </c>
      <c r="B342" s="26">
        <v>35003</v>
      </c>
      <c r="C342" s="24" t="s">
        <v>1031</v>
      </c>
      <c r="D342" t="s">
        <v>1032</v>
      </c>
      <c r="E342" s="25">
        <f>60+30/60</f>
        <v>60.5</v>
      </c>
      <c r="F342" s="25">
        <f>18+55/60</f>
        <v>18.916666666666668</v>
      </c>
      <c r="G342" s="9"/>
      <c r="H342" s="9" t="s">
        <v>150</v>
      </c>
      <c r="I342" s="9" t="s">
        <v>8</v>
      </c>
      <c r="J342" s="7" t="s">
        <v>8</v>
      </c>
      <c r="K342" s="10" t="s">
        <v>953</v>
      </c>
      <c r="L342" s="7" t="s">
        <v>2685</v>
      </c>
      <c r="M342" s="7" t="s">
        <v>717</v>
      </c>
      <c r="N342" s="42" t="s">
        <v>1338</v>
      </c>
      <c r="O342" s="42"/>
      <c r="P342" s="42"/>
      <c r="S342" s="19" t="s">
        <v>160</v>
      </c>
      <c r="T342" s="19" t="s">
        <v>160</v>
      </c>
      <c r="U342" s="42"/>
      <c r="X342" s="19" t="s">
        <v>160</v>
      </c>
      <c r="Z342" s="19" t="s">
        <v>160</v>
      </c>
      <c r="AL342" s="19" t="s">
        <v>160</v>
      </c>
      <c r="AR342" s="19" t="s">
        <v>160</v>
      </c>
      <c r="AT342" s="19" t="s">
        <v>160</v>
      </c>
      <c r="BB342" s="19"/>
      <c r="BC342" s="19"/>
      <c r="BD342" s="19"/>
      <c r="BE342" s="19"/>
    </row>
    <row r="343" spans="1:57" s="94" customFormat="1" x14ac:dyDescent="0.25">
      <c r="A343" s="98" t="s">
        <v>2773</v>
      </c>
      <c r="B343" s="135">
        <v>2068</v>
      </c>
      <c r="C343" s="98" t="s">
        <v>2276</v>
      </c>
      <c r="D343" s="98" t="s">
        <v>1031</v>
      </c>
      <c r="E343" s="189">
        <f>60+30/60</f>
        <v>60.5</v>
      </c>
      <c r="F343" s="189">
        <f>18+55/60+12/3600</f>
        <v>18.920000000000002</v>
      </c>
      <c r="G343" s="101"/>
      <c r="H343" s="98" t="s">
        <v>150</v>
      </c>
      <c r="I343" s="98" t="s">
        <v>8</v>
      </c>
      <c r="J343" s="102" t="s">
        <v>8</v>
      </c>
      <c r="K343" s="98" t="s">
        <v>6</v>
      </c>
      <c r="L343" s="102" t="s">
        <v>2030</v>
      </c>
      <c r="M343" s="102" t="s">
        <v>717</v>
      </c>
      <c r="N343" s="104" t="s">
        <v>1288</v>
      </c>
      <c r="O343" s="104"/>
      <c r="P343" s="104"/>
      <c r="Q343" s="103" t="s">
        <v>1654</v>
      </c>
      <c r="R343" s="103"/>
      <c r="S343" s="103"/>
      <c r="T343" s="103"/>
      <c r="U343" s="104">
        <v>4</v>
      </c>
      <c r="V343" s="103" t="s">
        <v>160</v>
      </c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  <c r="BD343" s="103"/>
      <c r="BE343" s="103"/>
    </row>
    <row r="344" spans="1:57" x14ac:dyDescent="0.25">
      <c r="A344" s="10" t="s">
        <v>8</v>
      </c>
      <c r="B344" s="155">
        <v>2068</v>
      </c>
      <c r="C344" s="10" t="s">
        <v>2276</v>
      </c>
      <c r="D344" s="10" t="s">
        <v>1031</v>
      </c>
      <c r="E344" s="195">
        <v>60.5</v>
      </c>
      <c r="F344" s="195">
        <v>18.920000000000002</v>
      </c>
      <c r="G344" s="30"/>
      <c r="H344" s="10" t="s">
        <v>150</v>
      </c>
      <c r="I344" s="10" t="s">
        <v>8</v>
      </c>
      <c r="J344" s="24" t="s">
        <v>8</v>
      </c>
      <c r="K344" s="10" t="s">
        <v>6</v>
      </c>
      <c r="L344" s="24" t="s">
        <v>2030</v>
      </c>
      <c r="M344" s="24" t="s">
        <v>717</v>
      </c>
      <c r="N344" s="22" t="s">
        <v>1288</v>
      </c>
      <c r="O344" s="22"/>
      <c r="P344" s="22"/>
      <c r="Q344" s="20" t="s">
        <v>1654</v>
      </c>
      <c r="R344" s="20"/>
      <c r="S344" s="20"/>
      <c r="T344" s="20"/>
      <c r="U344" s="22">
        <v>4</v>
      </c>
      <c r="V344" s="20" t="s">
        <v>160</v>
      </c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</row>
    <row r="345" spans="1:57" x14ac:dyDescent="0.25">
      <c r="A345" s="9" t="s">
        <v>8</v>
      </c>
      <c r="B345" s="27">
        <v>37133</v>
      </c>
      <c r="C345" s="28" t="s">
        <v>1916</v>
      </c>
      <c r="D345" s="28" t="s">
        <v>1031</v>
      </c>
      <c r="E345" s="25">
        <v>60.5</v>
      </c>
      <c r="F345" s="25">
        <v>18.850000000000001</v>
      </c>
      <c r="H345" s="10" t="s">
        <v>150</v>
      </c>
      <c r="I345" s="10" t="s">
        <v>8</v>
      </c>
      <c r="J345" s="24" t="s">
        <v>8</v>
      </c>
      <c r="K345" s="6" t="s">
        <v>2455</v>
      </c>
      <c r="L345" s="7" t="s">
        <v>2027</v>
      </c>
      <c r="M345" s="28" t="s">
        <v>717</v>
      </c>
      <c r="N345" s="19" t="s">
        <v>1812</v>
      </c>
      <c r="T345" s="7"/>
      <c r="X345" s="19" t="s">
        <v>160</v>
      </c>
      <c r="BA345" s="7"/>
      <c r="BB345" s="7"/>
      <c r="BC345" s="7"/>
      <c r="BD345" s="7"/>
      <c r="BE345" s="7"/>
    </row>
    <row r="346" spans="1:57" x14ac:dyDescent="0.25">
      <c r="A346" s="6" t="s">
        <v>8</v>
      </c>
      <c r="B346" s="9">
        <v>108300</v>
      </c>
      <c r="C346" s="9" t="s">
        <v>2275</v>
      </c>
      <c r="D346" s="9" t="s">
        <v>1031</v>
      </c>
      <c r="E346" s="3">
        <v>60.5</v>
      </c>
      <c r="F346" s="3">
        <v>18.866599999999998</v>
      </c>
      <c r="G346" s="9">
        <v>23</v>
      </c>
      <c r="H346" s="9" t="s">
        <v>150</v>
      </c>
      <c r="I346" s="6" t="s">
        <v>8</v>
      </c>
      <c r="J346" s="21" t="s">
        <v>8</v>
      </c>
      <c r="K346" s="3" t="s">
        <v>5</v>
      </c>
      <c r="L346" s="5" t="s">
        <v>2680</v>
      </c>
      <c r="M346" s="7" t="s">
        <v>717</v>
      </c>
      <c r="N346" s="19" t="s">
        <v>2476</v>
      </c>
      <c r="P346" s="19" t="s">
        <v>160</v>
      </c>
      <c r="AR346" s="19" t="s">
        <v>160</v>
      </c>
      <c r="AT346" s="19" t="s">
        <v>160</v>
      </c>
      <c r="AV346" s="19" t="s">
        <v>160</v>
      </c>
      <c r="AX346" s="19" t="s">
        <v>160</v>
      </c>
      <c r="AZ346" s="19" t="s">
        <v>160</v>
      </c>
      <c r="BB346" s="19"/>
      <c r="BC346" s="19"/>
      <c r="BD346" s="19"/>
      <c r="BE346" s="19"/>
    </row>
    <row r="347" spans="1:57" x14ac:dyDescent="0.25">
      <c r="A347" s="9" t="s">
        <v>707</v>
      </c>
      <c r="B347" s="39" t="s">
        <v>265</v>
      </c>
      <c r="C347" s="39" t="s">
        <v>891</v>
      </c>
      <c r="D347" s="40" t="s">
        <v>266</v>
      </c>
      <c r="E347" s="46" t="s">
        <v>268</v>
      </c>
      <c r="F347" s="46" t="s">
        <v>267</v>
      </c>
      <c r="G347" s="40"/>
      <c r="H347" s="9" t="s">
        <v>150</v>
      </c>
      <c r="I347" s="41" t="s">
        <v>169</v>
      </c>
      <c r="J347" s="41" t="s">
        <v>169</v>
      </c>
      <c r="K347" s="40" t="s">
        <v>5</v>
      </c>
      <c r="L347" s="41" t="s">
        <v>2043</v>
      </c>
      <c r="M347" s="7" t="s">
        <v>2653</v>
      </c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 t="s">
        <v>160</v>
      </c>
      <c r="AS347" s="42" t="s">
        <v>160</v>
      </c>
      <c r="AZ347" s="42"/>
      <c r="BA347" s="42"/>
      <c r="BB347" s="42"/>
      <c r="BC347" s="42"/>
      <c r="BD347" s="42"/>
      <c r="BE347" s="42"/>
    </row>
    <row r="348" spans="1:57" s="94" customFormat="1" x14ac:dyDescent="0.25">
      <c r="A348" s="94" t="s">
        <v>2773</v>
      </c>
      <c r="B348" s="109" t="s">
        <v>2881</v>
      </c>
      <c r="C348" s="109" t="s">
        <v>891</v>
      </c>
      <c r="D348" s="153" t="s">
        <v>30</v>
      </c>
      <c r="E348" s="93">
        <f>62+20/60+59.7552/3600</f>
        <v>62.349932000000003</v>
      </c>
      <c r="F348" s="93">
        <f>17+34/60+41.0124/3600</f>
        <v>17.578059</v>
      </c>
      <c r="G348" s="82"/>
      <c r="H348" s="94" t="s">
        <v>150</v>
      </c>
      <c r="I348" s="105" t="s">
        <v>169</v>
      </c>
      <c r="J348" s="105" t="s">
        <v>169</v>
      </c>
      <c r="K348" s="94" t="s">
        <v>5</v>
      </c>
      <c r="L348" s="105" t="s">
        <v>2043</v>
      </c>
      <c r="M348" s="105" t="s">
        <v>2653</v>
      </c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  <c r="AC348" s="108"/>
      <c r="AD348" s="108"/>
      <c r="AE348" s="108"/>
      <c r="AF348" s="108"/>
      <c r="AG348" s="108"/>
      <c r="AH348" s="108"/>
      <c r="AI348" s="108"/>
      <c r="AJ348" s="108"/>
      <c r="AK348" s="108"/>
      <c r="AL348" s="108"/>
      <c r="AM348" s="108"/>
      <c r="AN348" s="108"/>
      <c r="AO348" s="108"/>
      <c r="AP348" s="108"/>
      <c r="AQ348" s="108"/>
      <c r="AR348" s="108" t="s">
        <v>160</v>
      </c>
      <c r="AS348" s="108" t="s">
        <v>160</v>
      </c>
      <c r="AT348" s="108"/>
      <c r="AU348" s="108"/>
      <c r="AV348" s="108"/>
      <c r="AW348" s="108"/>
      <c r="AX348" s="108"/>
      <c r="AY348" s="108"/>
      <c r="AZ348" s="108"/>
      <c r="BA348" s="108"/>
      <c r="BB348" s="108"/>
      <c r="BC348" s="108"/>
      <c r="BD348" s="108"/>
      <c r="BE348" s="108"/>
    </row>
    <row r="349" spans="1:57" x14ac:dyDescent="0.25">
      <c r="A349" s="9" t="s">
        <v>8</v>
      </c>
      <c r="B349" s="69" t="s">
        <v>875</v>
      </c>
      <c r="C349" s="38" t="s">
        <v>891</v>
      </c>
      <c r="D349" s="62" t="s">
        <v>30</v>
      </c>
      <c r="E349" s="162">
        <f>62+20/60+59.7552/3600</f>
        <v>62.349932000000003</v>
      </c>
      <c r="F349" s="162">
        <f>17+34/60+41.0124/3600</f>
        <v>17.578059</v>
      </c>
      <c r="H349" s="9" t="s">
        <v>150</v>
      </c>
      <c r="I349" s="7" t="s">
        <v>169</v>
      </c>
      <c r="J349" s="7" t="s">
        <v>169</v>
      </c>
      <c r="K349" s="9" t="s">
        <v>5</v>
      </c>
      <c r="L349" s="7" t="s">
        <v>2043</v>
      </c>
      <c r="M349" s="7" t="s">
        <v>2653</v>
      </c>
      <c r="AR349" s="19" t="s">
        <v>160</v>
      </c>
      <c r="AS349" s="19" t="s">
        <v>160</v>
      </c>
      <c r="BB349" s="19"/>
      <c r="BC349" s="19"/>
      <c r="BD349" s="19"/>
      <c r="BE349" s="19"/>
    </row>
    <row r="350" spans="1:57" x14ac:dyDescent="0.25">
      <c r="A350" s="9" t="s">
        <v>706</v>
      </c>
      <c r="B350" s="38">
        <v>153</v>
      </c>
      <c r="C350" s="38" t="s">
        <v>891</v>
      </c>
      <c r="D350" s="62" t="s">
        <v>30</v>
      </c>
      <c r="E350" s="5">
        <f>62+21/60</f>
        <v>62.35</v>
      </c>
      <c r="F350" s="5">
        <f>17+34/60+41/3600</f>
        <v>17.578055555555554</v>
      </c>
      <c r="H350" s="9" t="s">
        <v>150</v>
      </c>
      <c r="I350" s="7" t="s">
        <v>169</v>
      </c>
      <c r="J350" s="7" t="s">
        <v>169</v>
      </c>
      <c r="K350" s="9" t="s">
        <v>5</v>
      </c>
      <c r="L350" s="7" t="s">
        <v>2043</v>
      </c>
      <c r="M350" s="7" t="s">
        <v>2653</v>
      </c>
      <c r="AR350" s="19" t="s">
        <v>160</v>
      </c>
      <c r="AS350" s="19" t="s">
        <v>160</v>
      </c>
      <c r="BB350" s="19"/>
      <c r="BC350" s="19"/>
      <c r="BD350" s="19"/>
      <c r="BE350" s="19"/>
    </row>
    <row r="351" spans="1:57" x14ac:dyDescent="0.25">
      <c r="A351" s="6" t="s">
        <v>8</v>
      </c>
      <c r="B351" s="9">
        <v>87360</v>
      </c>
      <c r="C351" s="9" t="s">
        <v>1394</v>
      </c>
      <c r="D351" s="9" t="s">
        <v>1395</v>
      </c>
      <c r="E351" s="3">
        <v>58.5929</v>
      </c>
      <c r="F351" s="3">
        <v>17.470400000000001</v>
      </c>
      <c r="G351" s="9">
        <v>25</v>
      </c>
      <c r="H351" s="9" t="s">
        <v>150</v>
      </c>
      <c r="I351" s="6" t="s">
        <v>8</v>
      </c>
      <c r="J351" s="21" t="s">
        <v>8</v>
      </c>
      <c r="K351" s="3" t="s">
        <v>5</v>
      </c>
      <c r="L351" s="5" t="s">
        <v>2680</v>
      </c>
      <c r="M351" s="7" t="s">
        <v>717</v>
      </c>
      <c r="N351" s="19" t="s">
        <v>2477</v>
      </c>
      <c r="P351" s="19" t="s">
        <v>160</v>
      </c>
      <c r="AR351" s="19" t="s">
        <v>160</v>
      </c>
      <c r="AT351" s="19" t="s">
        <v>160</v>
      </c>
      <c r="AV351" s="19" t="s">
        <v>160</v>
      </c>
      <c r="AX351" s="19" t="s">
        <v>160</v>
      </c>
      <c r="AZ351" s="19" t="s">
        <v>160</v>
      </c>
      <c r="BB351" s="19"/>
      <c r="BC351" s="19"/>
      <c r="BD351" s="19"/>
      <c r="BE351" s="19"/>
    </row>
    <row r="352" spans="1:57" x14ac:dyDescent="0.25">
      <c r="A352" s="98" t="s">
        <v>2773</v>
      </c>
      <c r="B352" s="135">
        <v>30006</v>
      </c>
      <c r="C352" s="98" t="s">
        <v>1074</v>
      </c>
      <c r="D352" s="98" t="s">
        <v>1264</v>
      </c>
      <c r="E352" s="189">
        <f>58+35/60+24/3600</f>
        <v>58.59</v>
      </c>
      <c r="F352" s="189">
        <f>17+28/60+12/3600</f>
        <v>17.47</v>
      </c>
      <c r="G352" s="101"/>
      <c r="H352" s="98" t="s">
        <v>150</v>
      </c>
      <c r="I352" s="98" t="s">
        <v>8</v>
      </c>
      <c r="J352" s="102" t="s">
        <v>8</v>
      </c>
      <c r="K352" s="98" t="s">
        <v>6</v>
      </c>
      <c r="L352" s="102" t="s">
        <v>2030</v>
      </c>
      <c r="M352" s="102" t="s">
        <v>717</v>
      </c>
      <c r="N352" s="104" t="s">
        <v>1299</v>
      </c>
      <c r="O352" s="104"/>
      <c r="P352" s="104"/>
      <c r="Q352" s="103" t="s">
        <v>1656</v>
      </c>
      <c r="R352" s="103"/>
      <c r="S352" s="103"/>
      <c r="T352" s="103"/>
      <c r="U352" s="104">
        <v>4</v>
      </c>
      <c r="V352" s="103" t="s">
        <v>160</v>
      </c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  <c r="BD352" s="103"/>
      <c r="BE352" s="103"/>
    </row>
    <row r="353" spans="1:57" s="94" customFormat="1" x14ac:dyDescent="0.25">
      <c r="A353" s="9" t="s">
        <v>8</v>
      </c>
      <c r="B353" s="26">
        <v>35057</v>
      </c>
      <c r="C353" s="24" t="s">
        <v>1074</v>
      </c>
      <c r="D353" s="24" t="s">
        <v>1264</v>
      </c>
      <c r="E353" s="181">
        <v>58.594000000000001</v>
      </c>
      <c r="F353" s="181">
        <v>17.467600000000001</v>
      </c>
      <c r="G353" s="9"/>
      <c r="H353" s="9" t="s">
        <v>150</v>
      </c>
      <c r="I353" s="9" t="s">
        <v>8</v>
      </c>
      <c r="J353" s="7" t="s">
        <v>8</v>
      </c>
      <c r="K353" s="10" t="s">
        <v>951</v>
      </c>
      <c r="L353" s="7" t="s">
        <v>2049</v>
      </c>
      <c r="M353" s="7" t="s">
        <v>717</v>
      </c>
      <c r="N353" s="42" t="s">
        <v>1350</v>
      </c>
      <c r="O353" s="42"/>
      <c r="P353" s="42" t="s">
        <v>160</v>
      </c>
      <c r="Q353" s="19"/>
      <c r="R353" s="19"/>
      <c r="S353" s="42" t="s">
        <v>160</v>
      </c>
      <c r="T353" s="19" t="s">
        <v>160</v>
      </c>
      <c r="U353" s="42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 t="s">
        <v>160</v>
      </c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</row>
    <row r="354" spans="1:57" x14ac:dyDescent="0.25">
      <c r="A354" s="10" t="s">
        <v>8</v>
      </c>
      <c r="B354" s="155">
        <v>30006</v>
      </c>
      <c r="C354" s="10" t="s">
        <v>1074</v>
      </c>
      <c r="D354" s="10" t="s">
        <v>1264</v>
      </c>
      <c r="E354" s="193">
        <v>58.594000000000001</v>
      </c>
      <c r="F354" s="193">
        <v>17.467600000000001</v>
      </c>
      <c r="G354" s="30"/>
      <c r="H354" s="10" t="s">
        <v>150</v>
      </c>
      <c r="I354" s="10" t="s">
        <v>8</v>
      </c>
      <c r="J354" s="24" t="s">
        <v>8</v>
      </c>
      <c r="K354" s="10" t="s">
        <v>6</v>
      </c>
      <c r="L354" s="24" t="s">
        <v>2030</v>
      </c>
      <c r="M354" s="24" t="s">
        <v>717</v>
      </c>
      <c r="N354" s="22" t="s">
        <v>1299</v>
      </c>
      <c r="O354" s="22"/>
      <c r="P354" s="22"/>
      <c r="Q354" s="20" t="s">
        <v>1656</v>
      </c>
      <c r="R354" s="20"/>
      <c r="S354" s="20"/>
      <c r="T354" s="20"/>
      <c r="U354" s="22">
        <v>4</v>
      </c>
      <c r="V354" s="20" t="s">
        <v>160</v>
      </c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</row>
    <row r="355" spans="1:57" x14ac:dyDescent="0.25">
      <c r="A355" s="10" t="s">
        <v>8</v>
      </c>
      <c r="B355" s="27">
        <v>37206</v>
      </c>
      <c r="C355" s="28" t="s">
        <v>1917</v>
      </c>
      <c r="D355" s="28" t="s">
        <v>1733</v>
      </c>
      <c r="E355" s="25">
        <v>58.583300000000001</v>
      </c>
      <c r="F355" s="25">
        <v>17.466699999999999</v>
      </c>
      <c r="H355" s="10" t="s">
        <v>150</v>
      </c>
      <c r="I355" s="10" t="s">
        <v>8</v>
      </c>
      <c r="J355" s="24" t="s">
        <v>8</v>
      </c>
      <c r="K355" s="6" t="s">
        <v>2455</v>
      </c>
      <c r="L355" s="7" t="s">
        <v>2027</v>
      </c>
      <c r="M355" s="28" t="s">
        <v>717</v>
      </c>
      <c r="N355" s="19" t="s">
        <v>1834</v>
      </c>
      <c r="O355" s="22"/>
      <c r="T355" s="7"/>
      <c r="X355" s="19" t="s">
        <v>160</v>
      </c>
      <c r="BA355" s="7"/>
      <c r="BB355" s="7"/>
      <c r="BC355" s="7"/>
      <c r="BD355" s="7"/>
      <c r="BE355" s="7"/>
    </row>
    <row r="356" spans="1:57" x14ac:dyDescent="0.25">
      <c r="A356" s="6" t="s">
        <v>8</v>
      </c>
      <c r="B356" s="9">
        <v>98180</v>
      </c>
      <c r="C356" s="9" t="s">
        <v>2433</v>
      </c>
      <c r="D356" s="9" t="s">
        <v>1396</v>
      </c>
      <c r="E356" s="3">
        <v>59.322600000000001</v>
      </c>
      <c r="F356" s="3">
        <v>18.372499999999999</v>
      </c>
      <c r="G356" s="9">
        <v>10</v>
      </c>
      <c r="H356" s="9" t="s">
        <v>150</v>
      </c>
      <c r="I356" s="6" t="s">
        <v>8</v>
      </c>
      <c r="J356" s="21" t="s">
        <v>8</v>
      </c>
      <c r="K356" s="3" t="s">
        <v>5</v>
      </c>
      <c r="L356" s="5" t="s">
        <v>2028</v>
      </c>
      <c r="M356" s="7" t="s">
        <v>717</v>
      </c>
      <c r="N356" s="19" t="s">
        <v>2563</v>
      </c>
      <c r="O356" s="22"/>
      <c r="P356" s="19" t="s">
        <v>160</v>
      </c>
      <c r="AR356" s="29"/>
      <c r="AS356" s="29"/>
      <c r="AT356" s="19" t="s">
        <v>160</v>
      </c>
      <c r="BB356" s="19"/>
      <c r="BC356" s="19"/>
      <c r="BD356" s="19"/>
      <c r="BE356" s="19"/>
    </row>
    <row r="357" spans="1:57" x14ac:dyDescent="0.25">
      <c r="A357" s="6" t="s">
        <v>8</v>
      </c>
      <c r="B357" s="27">
        <v>37260</v>
      </c>
      <c r="C357" s="28" t="s">
        <v>1918</v>
      </c>
      <c r="D357" s="28" t="s">
        <v>1762</v>
      </c>
      <c r="E357" s="25">
        <v>55.283299999999997</v>
      </c>
      <c r="F357" s="25">
        <v>13.166700000000001</v>
      </c>
      <c r="H357" s="9" t="s">
        <v>150</v>
      </c>
      <c r="I357" s="6" t="s">
        <v>8</v>
      </c>
      <c r="J357" s="21" t="s">
        <v>8</v>
      </c>
      <c r="K357" s="6" t="s">
        <v>2455</v>
      </c>
      <c r="L357" s="7" t="s">
        <v>2027</v>
      </c>
      <c r="M357" s="28" t="s">
        <v>717</v>
      </c>
      <c r="N357" s="19" t="s">
        <v>1848</v>
      </c>
      <c r="O357" s="22"/>
      <c r="T357" s="7"/>
      <c r="X357" s="19" t="s">
        <v>160</v>
      </c>
      <c r="BA357" s="7"/>
      <c r="BB357" s="7"/>
      <c r="BC357" s="7"/>
      <c r="BD357" s="7"/>
      <c r="BE357" s="7"/>
    </row>
    <row r="358" spans="1:57" x14ac:dyDescent="0.25">
      <c r="A358" s="6" t="s">
        <v>8</v>
      </c>
      <c r="B358" s="27">
        <v>37261</v>
      </c>
      <c r="C358" s="28" t="s">
        <v>1763</v>
      </c>
      <c r="D358" s="28" t="s">
        <v>1763</v>
      </c>
      <c r="E358" s="25">
        <v>55</v>
      </c>
      <c r="F358" s="25">
        <v>13.3667</v>
      </c>
      <c r="H358" s="9" t="s">
        <v>150</v>
      </c>
      <c r="I358" s="6" t="s">
        <v>8</v>
      </c>
      <c r="J358" s="21" t="s">
        <v>8</v>
      </c>
      <c r="K358" s="6" t="s">
        <v>2455</v>
      </c>
      <c r="L358" s="7" t="s">
        <v>2027</v>
      </c>
      <c r="M358" s="28" t="s">
        <v>717</v>
      </c>
      <c r="N358" s="19" t="s">
        <v>1848</v>
      </c>
      <c r="O358" s="22"/>
      <c r="T358" s="7"/>
      <c r="X358" s="19" t="s">
        <v>160</v>
      </c>
      <c r="BA358" s="7"/>
      <c r="BB358" s="7"/>
      <c r="BC358" s="7"/>
      <c r="BD358" s="7"/>
      <c r="BE358" s="7"/>
    </row>
    <row r="359" spans="1:57" x14ac:dyDescent="0.25">
      <c r="A359" s="6" t="s">
        <v>8</v>
      </c>
      <c r="B359" s="27">
        <v>37262</v>
      </c>
      <c r="C359" s="28" t="s">
        <v>1919</v>
      </c>
      <c r="D359" s="28" t="s">
        <v>1764</v>
      </c>
      <c r="E359" s="25">
        <v>54.7667</v>
      </c>
      <c r="F359" s="25">
        <v>13.533300000000001</v>
      </c>
      <c r="H359" s="9" t="s">
        <v>150</v>
      </c>
      <c r="I359" s="6" t="s">
        <v>8</v>
      </c>
      <c r="J359" s="21" t="s">
        <v>8</v>
      </c>
      <c r="K359" s="6" t="s">
        <v>2455</v>
      </c>
      <c r="L359" s="7" t="s">
        <v>2027</v>
      </c>
      <c r="M359" s="28" t="s">
        <v>717</v>
      </c>
      <c r="N359" s="19" t="s">
        <v>1848</v>
      </c>
      <c r="O359" s="22"/>
      <c r="T359" s="7"/>
      <c r="X359" s="19" t="s">
        <v>160</v>
      </c>
      <c r="BA359" s="7"/>
      <c r="BB359" s="7"/>
      <c r="BC359" s="7"/>
      <c r="BD359" s="7"/>
      <c r="BE359" s="7"/>
    </row>
    <row r="360" spans="1:57" s="94" customFormat="1" x14ac:dyDescent="0.25">
      <c r="A360" s="32" t="s">
        <v>707</v>
      </c>
      <c r="B360" s="33"/>
      <c r="C360" s="33" t="s">
        <v>1397</v>
      </c>
      <c r="D360" s="33" t="s">
        <v>1398</v>
      </c>
      <c r="E360" s="35"/>
      <c r="F360" s="35"/>
      <c r="G360" s="33"/>
      <c r="H360" s="33" t="s">
        <v>150</v>
      </c>
      <c r="I360" s="21" t="s">
        <v>8</v>
      </c>
      <c r="J360" s="32" t="s">
        <v>8</v>
      </c>
      <c r="K360" s="35" t="s">
        <v>5</v>
      </c>
      <c r="L360" s="35" t="s">
        <v>2043</v>
      </c>
      <c r="M360" s="33" t="s">
        <v>2653</v>
      </c>
      <c r="N360" s="37" t="s">
        <v>2388</v>
      </c>
      <c r="O360" s="67"/>
      <c r="P360" s="37" t="s">
        <v>160</v>
      </c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 t="s">
        <v>160</v>
      </c>
      <c r="AS360" s="37" t="s">
        <v>160</v>
      </c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</row>
    <row r="361" spans="1:57" x14ac:dyDescent="0.25">
      <c r="A361" s="114" t="s">
        <v>2773</v>
      </c>
      <c r="B361" s="94" t="s">
        <v>2884</v>
      </c>
      <c r="C361" s="94" t="s">
        <v>1397</v>
      </c>
      <c r="D361" s="153" t="s">
        <v>1398</v>
      </c>
      <c r="E361" s="82">
        <v>56.449599999999997</v>
      </c>
      <c r="F361" s="82">
        <v>12.545299999999999</v>
      </c>
      <c r="G361" s="94">
        <v>9.1720000000000006</v>
      </c>
      <c r="H361" s="94" t="s">
        <v>150</v>
      </c>
      <c r="I361" s="122" t="s">
        <v>8</v>
      </c>
      <c r="J361" s="122" t="s">
        <v>8</v>
      </c>
      <c r="K361" s="82" t="s">
        <v>5</v>
      </c>
      <c r="L361" s="93" t="s">
        <v>2681</v>
      </c>
      <c r="M361" s="105" t="s">
        <v>2653</v>
      </c>
      <c r="N361" s="108" t="s">
        <v>2388</v>
      </c>
      <c r="O361" s="104"/>
      <c r="P361" s="108" t="s">
        <v>160</v>
      </c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  <c r="AA361" s="108"/>
      <c r="AB361" s="108"/>
      <c r="AC361" s="108"/>
      <c r="AD361" s="108"/>
      <c r="AE361" s="108"/>
      <c r="AF361" s="108"/>
      <c r="AG361" s="108"/>
      <c r="AH361" s="108"/>
      <c r="AI361" s="108"/>
      <c r="AJ361" s="108"/>
      <c r="AK361" s="108"/>
      <c r="AL361" s="108"/>
      <c r="AM361" s="108"/>
      <c r="AN361" s="108"/>
      <c r="AO361" s="108"/>
      <c r="AP361" s="108"/>
      <c r="AQ361" s="108"/>
      <c r="AR361" s="108" t="s">
        <v>160</v>
      </c>
      <c r="AS361" s="108" t="s">
        <v>160</v>
      </c>
      <c r="AT361" s="108" t="s">
        <v>160</v>
      </c>
      <c r="AU361" s="108" t="s">
        <v>160</v>
      </c>
      <c r="AV361" s="108"/>
      <c r="AW361" s="108"/>
      <c r="AX361" s="108" t="s">
        <v>160</v>
      </c>
      <c r="AY361" s="108" t="s">
        <v>160</v>
      </c>
      <c r="AZ361" s="108" t="s">
        <v>160</v>
      </c>
      <c r="BA361" s="108" t="s">
        <v>160</v>
      </c>
      <c r="BB361" s="108"/>
      <c r="BC361" s="108"/>
      <c r="BD361" s="108"/>
      <c r="BE361" s="108"/>
    </row>
    <row r="362" spans="1:57" s="33" customFormat="1" x14ac:dyDescent="0.25">
      <c r="A362" s="6" t="s">
        <v>8</v>
      </c>
      <c r="B362" s="9">
        <v>62260</v>
      </c>
      <c r="C362" s="9" t="s">
        <v>1397</v>
      </c>
      <c r="D362" s="9" t="s">
        <v>1398</v>
      </c>
      <c r="E362" s="3">
        <v>56.449599999999997</v>
      </c>
      <c r="F362" s="3">
        <v>12.545299999999999</v>
      </c>
      <c r="G362" s="9">
        <v>9.1720000000000006</v>
      </c>
      <c r="H362" s="9" t="s">
        <v>150</v>
      </c>
      <c r="I362" s="21" t="s">
        <v>8</v>
      </c>
      <c r="J362" s="21" t="s">
        <v>8</v>
      </c>
      <c r="K362" s="3" t="s">
        <v>5</v>
      </c>
      <c r="L362" s="5" t="s">
        <v>2681</v>
      </c>
      <c r="M362" s="7" t="s">
        <v>2653</v>
      </c>
      <c r="N362" s="19" t="s">
        <v>2388</v>
      </c>
      <c r="O362" s="22"/>
      <c r="P362" s="19" t="s">
        <v>160</v>
      </c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 t="s">
        <v>160</v>
      </c>
      <c r="AS362" s="19" t="s">
        <v>160</v>
      </c>
      <c r="AT362" s="19" t="s">
        <v>160</v>
      </c>
      <c r="AU362" s="19" t="s">
        <v>160</v>
      </c>
      <c r="AV362" s="19"/>
      <c r="AW362" s="19"/>
      <c r="AX362" s="19" t="s">
        <v>160</v>
      </c>
      <c r="AY362" s="19" t="s">
        <v>160</v>
      </c>
      <c r="AZ362" s="19" t="s">
        <v>160</v>
      </c>
      <c r="BA362" s="19" t="s">
        <v>160</v>
      </c>
      <c r="BB362" s="19"/>
      <c r="BC362" s="19"/>
      <c r="BD362" s="19"/>
      <c r="BE362" s="19"/>
    </row>
    <row r="363" spans="1:57" x14ac:dyDescent="0.25">
      <c r="A363" s="6" t="s">
        <v>706</v>
      </c>
      <c r="B363" s="9">
        <v>212</v>
      </c>
      <c r="C363" s="9" t="s">
        <v>1397</v>
      </c>
      <c r="D363" s="62" t="s">
        <v>2659</v>
      </c>
      <c r="E363" s="3">
        <f>56+26/60+59/3600</f>
        <v>56.449722222222221</v>
      </c>
      <c r="F363" s="3">
        <f>12+32/60+43/3600</f>
        <v>12.545277777777777</v>
      </c>
      <c r="G363" s="9"/>
      <c r="H363" s="9" t="s">
        <v>150</v>
      </c>
      <c r="I363" s="21" t="s">
        <v>8</v>
      </c>
      <c r="J363" s="21" t="s">
        <v>8</v>
      </c>
      <c r="K363" s="3" t="s">
        <v>5</v>
      </c>
      <c r="L363" s="5" t="s">
        <v>2043</v>
      </c>
      <c r="M363" s="7" t="s">
        <v>2653</v>
      </c>
      <c r="N363" s="19" t="s">
        <v>2388</v>
      </c>
      <c r="O363" s="22"/>
      <c r="P363" s="19" t="s">
        <v>160</v>
      </c>
      <c r="AR363" s="19" t="s">
        <v>160</v>
      </c>
      <c r="AS363" s="19" t="s">
        <v>160</v>
      </c>
      <c r="BB363" s="19"/>
      <c r="BC363" s="19"/>
      <c r="BD363" s="19"/>
      <c r="BE363" s="19"/>
    </row>
    <row r="364" spans="1:57" s="94" customFormat="1" x14ac:dyDescent="0.25">
      <c r="A364" s="98" t="s">
        <v>2773</v>
      </c>
      <c r="B364" s="135">
        <v>2089</v>
      </c>
      <c r="C364" s="98" t="s">
        <v>1266</v>
      </c>
      <c r="D364" s="98" t="s">
        <v>1230</v>
      </c>
      <c r="E364" s="189">
        <f>56+36/3600</f>
        <v>56.01</v>
      </c>
      <c r="F364" s="189">
        <f>14+42/60</f>
        <v>14.7</v>
      </c>
      <c r="G364" s="101"/>
      <c r="H364" s="98" t="s">
        <v>150</v>
      </c>
      <c r="I364" s="98" t="s">
        <v>8</v>
      </c>
      <c r="J364" s="102" t="s">
        <v>8</v>
      </c>
      <c r="K364" s="98" t="s">
        <v>6</v>
      </c>
      <c r="L364" s="102" t="s">
        <v>2030</v>
      </c>
      <c r="M364" s="102" t="s">
        <v>717</v>
      </c>
      <c r="N364" s="104" t="s">
        <v>1303</v>
      </c>
      <c r="O364" s="104"/>
      <c r="P364" s="104"/>
      <c r="Q364" s="103" t="s">
        <v>1655</v>
      </c>
      <c r="R364" s="103"/>
      <c r="S364" s="103"/>
      <c r="T364" s="103"/>
      <c r="U364" s="104">
        <v>4</v>
      </c>
      <c r="V364" s="103" t="s">
        <v>160</v>
      </c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  <c r="BD364" s="103"/>
      <c r="BE364" s="103"/>
    </row>
    <row r="365" spans="1:57" x14ac:dyDescent="0.25">
      <c r="A365" s="10" t="s">
        <v>8</v>
      </c>
      <c r="B365" s="155">
        <v>2089</v>
      </c>
      <c r="C365" s="10" t="s">
        <v>1266</v>
      </c>
      <c r="D365" s="10" t="s">
        <v>1230</v>
      </c>
      <c r="E365" s="195">
        <v>56.01</v>
      </c>
      <c r="F365" s="195">
        <v>14.7</v>
      </c>
      <c r="G365" s="30"/>
      <c r="H365" s="10" t="s">
        <v>150</v>
      </c>
      <c r="I365" s="10" t="s">
        <v>8</v>
      </c>
      <c r="J365" s="24" t="s">
        <v>8</v>
      </c>
      <c r="K365" s="10" t="s">
        <v>6</v>
      </c>
      <c r="L365" s="24" t="s">
        <v>2030</v>
      </c>
      <c r="M365" s="24" t="s">
        <v>717</v>
      </c>
      <c r="N365" s="22" t="s">
        <v>1303</v>
      </c>
      <c r="O365" s="22"/>
      <c r="P365" s="22"/>
      <c r="Q365" s="20" t="s">
        <v>1655</v>
      </c>
      <c r="R365" s="20"/>
      <c r="S365" s="20"/>
      <c r="T365" s="20"/>
      <c r="U365" s="22">
        <v>4</v>
      </c>
      <c r="V365" s="20" t="s">
        <v>160</v>
      </c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</row>
    <row r="366" spans="1:57" x14ac:dyDescent="0.25">
      <c r="A366" s="10" t="s">
        <v>8</v>
      </c>
      <c r="B366" s="27">
        <v>37129</v>
      </c>
      <c r="C366" s="28" t="s">
        <v>2434</v>
      </c>
      <c r="D366" s="28" t="s">
        <v>1721</v>
      </c>
      <c r="E366" s="25">
        <v>61.2667</v>
      </c>
      <c r="F366" s="25">
        <v>17.399999999999999</v>
      </c>
      <c r="H366" s="10" t="s">
        <v>150</v>
      </c>
      <c r="I366" s="10" t="s">
        <v>8</v>
      </c>
      <c r="J366" s="24" t="s">
        <v>8</v>
      </c>
      <c r="K366" s="6" t="s">
        <v>2455</v>
      </c>
      <c r="L366" s="7" t="s">
        <v>2027</v>
      </c>
      <c r="M366" s="28" t="s">
        <v>717</v>
      </c>
      <c r="N366" s="19" t="s">
        <v>1822</v>
      </c>
      <c r="O366" s="22"/>
      <c r="T366" s="7"/>
      <c r="X366" s="19" t="s">
        <v>160</v>
      </c>
      <c r="BA366" s="7"/>
      <c r="BB366" s="7"/>
      <c r="BC366" s="7"/>
      <c r="BD366" s="7"/>
      <c r="BE366" s="7"/>
    </row>
    <row r="367" spans="1:57" s="94" customFormat="1" x14ac:dyDescent="0.25">
      <c r="A367" s="98" t="s">
        <v>2773</v>
      </c>
      <c r="B367" s="135">
        <v>2511</v>
      </c>
      <c r="C367" s="98" t="s">
        <v>1275</v>
      </c>
      <c r="D367" s="98" t="s">
        <v>1244</v>
      </c>
      <c r="E367" s="189">
        <f>58+19/60+48/3600</f>
        <v>58.330000000000005</v>
      </c>
      <c r="F367" s="189">
        <f>11+13/60+12/3600</f>
        <v>11.22</v>
      </c>
      <c r="G367" s="101"/>
      <c r="H367" s="98" t="s">
        <v>150</v>
      </c>
      <c r="I367" s="98" t="s">
        <v>8</v>
      </c>
      <c r="J367" s="102" t="s">
        <v>8</v>
      </c>
      <c r="K367" s="98" t="s">
        <v>6</v>
      </c>
      <c r="L367" s="102" t="s">
        <v>2030</v>
      </c>
      <c r="M367" s="102" t="s">
        <v>717</v>
      </c>
      <c r="N367" s="104" t="s">
        <v>1322</v>
      </c>
      <c r="O367" s="104"/>
      <c r="P367" s="104"/>
      <c r="Q367" s="103" t="s">
        <v>1657</v>
      </c>
      <c r="R367" s="103"/>
      <c r="S367" s="103"/>
      <c r="T367" s="103"/>
      <c r="U367" s="104">
        <v>4</v>
      </c>
      <c r="V367" s="103" t="s">
        <v>160</v>
      </c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  <c r="BD367" s="103"/>
      <c r="BE367" s="103"/>
    </row>
    <row r="368" spans="1:57" x14ac:dyDescent="0.25">
      <c r="A368" s="10" t="s">
        <v>8</v>
      </c>
      <c r="B368" s="155">
        <v>2511</v>
      </c>
      <c r="C368" s="10" t="s">
        <v>1275</v>
      </c>
      <c r="D368" s="10" t="s">
        <v>1244</v>
      </c>
      <c r="E368" s="195">
        <v>58.33</v>
      </c>
      <c r="F368" s="195">
        <v>11.22</v>
      </c>
      <c r="G368" s="30"/>
      <c r="H368" s="10" t="s">
        <v>150</v>
      </c>
      <c r="I368" s="10" t="s">
        <v>8</v>
      </c>
      <c r="J368" s="24" t="s">
        <v>8</v>
      </c>
      <c r="K368" s="10" t="s">
        <v>6</v>
      </c>
      <c r="L368" s="24" t="s">
        <v>2030</v>
      </c>
      <c r="M368" s="24" t="s">
        <v>717</v>
      </c>
      <c r="N368" s="22" t="s">
        <v>1322</v>
      </c>
      <c r="O368" s="22"/>
      <c r="P368" s="22"/>
      <c r="Q368" s="20" t="s">
        <v>1657</v>
      </c>
      <c r="R368" s="20"/>
      <c r="S368" s="20"/>
      <c r="T368" s="20"/>
      <c r="U368" s="22">
        <v>4</v>
      </c>
      <c r="V368" s="20" t="s">
        <v>160</v>
      </c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</row>
    <row r="369" spans="1:57" x14ac:dyDescent="0.25">
      <c r="A369" s="6" t="s">
        <v>8</v>
      </c>
      <c r="B369" s="9">
        <v>81630</v>
      </c>
      <c r="C369" s="7" t="s">
        <v>2243</v>
      </c>
      <c r="D369" s="9" t="s">
        <v>1244</v>
      </c>
      <c r="E369" s="3">
        <v>58.333300000000001</v>
      </c>
      <c r="F369" s="3">
        <v>11.2166</v>
      </c>
      <c r="G369" s="9">
        <v>16</v>
      </c>
      <c r="H369" s="9" t="s">
        <v>150</v>
      </c>
      <c r="I369" s="6" t="s">
        <v>8</v>
      </c>
      <c r="J369" s="21" t="s">
        <v>8</v>
      </c>
      <c r="K369" s="3" t="s">
        <v>5</v>
      </c>
      <c r="L369" s="5" t="s">
        <v>2689</v>
      </c>
      <c r="M369" s="7" t="s">
        <v>717</v>
      </c>
      <c r="N369" s="19" t="s">
        <v>1710</v>
      </c>
      <c r="O369" s="22"/>
      <c r="P369" s="19" t="s">
        <v>160</v>
      </c>
      <c r="AR369" s="19" t="s">
        <v>160</v>
      </c>
      <c r="AT369" s="19" t="s">
        <v>160</v>
      </c>
      <c r="AZ369" s="19" t="s">
        <v>160</v>
      </c>
      <c r="BB369" s="19"/>
      <c r="BC369" s="19"/>
      <c r="BD369" s="19"/>
      <c r="BE369" s="19"/>
    </row>
    <row r="370" spans="1:57" x14ac:dyDescent="0.25">
      <c r="A370" s="9" t="s">
        <v>707</v>
      </c>
      <c r="B370" s="137" t="s">
        <v>286</v>
      </c>
      <c r="C370" s="23" t="s">
        <v>773</v>
      </c>
      <c r="D370" s="40" t="s">
        <v>287</v>
      </c>
      <c r="E370" s="46" t="s">
        <v>2101</v>
      </c>
      <c r="F370" s="46" t="s">
        <v>2102</v>
      </c>
      <c r="G370" s="40"/>
      <c r="H370" s="9" t="s">
        <v>150</v>
      </c>
      <c r="I370" s="41" t="s">
        <v>169</v>
      </c>
      <c r="J370" s="41" t="s">
        <v>169</v>
      </c>
      <c r="K370" s="40" t="s">
        <v>6</v>
      </c>
      <c r="L370" s="41" t="s">
        <v>2031</v>
      </c>
      <c r="M370" s="7" t="s">
        <v>2653</v>
      </c>
      <c r="N370" s="19" t="s">
        <v>1108</v>
      </c>
      <c r="O370" s="42" t="s">
        <v>160</v>
      </c>
      <c r="P370" s="42" t="s">
        <v>160</v>
      </c>
      <c r="Q370" s="44" t="s">
        <v>1145</v>
      </c>
      <c r="S370" s="19" t="s">
        <v>160</v>
      </c>
      <c r="T370" s="19" t="s">
        <v>160</v>
      </c>
      <c r="U370" s="19">
        <v>1</v>
      </c>
      <c r="V370" s="42" t="s">
        <v>160</v>
      </c>
      <c r="W370" s="42" t="s">
        <v>160</v>
      </c>
      <c r="X370" s="42" t="s">
        <v>160</v>
      </c>
      <c r="Y370" s="42" t="s">
        <v>160</v>
      </c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Z370" s="42"/>
      <c r="BA370" s="42"/>
      <c r="BB370" s="42"/>
      <c r="BC370" s="42"/>
      <c r="BD370" s="42"/>
      <c r="BE370" s="42"/>
    </row>
    <row r="371" spans="1:57" x14ac:dyDescent="0.25">
      <c r="A371" s="9" t="s">
        <v>707</v>
      </c>
      <c r="B371" s="39" t="s">
        <v>282</v>
      </c>
      <c r="C371" s="39" t="s">
        <v>773</v>
      </c>
      <c r="D371" s="40" t="s">
        <v>283</v>
      </c>
      <c r="E371" s="46" t="s">
        <v>285</v>
      </c>
      <c r="F371" s="46" t="s">
        <v>284</v>
      </c>
      <c r="G371" s="40"/>
      <c r="H371" s="9" t="s">
        <v>150</v>
      </c>
      <c r="I371" s="41" t="s">
        <v>169</v>
      </c>
      <c r="J371" s="41" t="s">
        <v>169</v>
      </c>
      <c r="K371" s="40" t="s">
        <v>5</v>
      </c>
      <c r="L371" s="41" t="s">
        <v>2043</v>
      </c>
      <c r="M371" s="7" t="s">
        <v>2653</v>
      </c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 t="s">
        <v>160</v>
      </c>
      <c r="AS371" s="42" t="s">
        <v>160</v>
      </c>
      <c r="AZ371" s="42"/>
      <c r="BA371" s="42"/>
      <c r="BB371" s="42"/>
      <c r="BC371" s="42"/>
      <c r="BD371" s="42"/>
      <c r="BE371" s="42"/>
    </row>
    <row r="372" spans="1:57" x14ac:dyDescent="0.25">
      <c r="A372" s="53" t="s">
        <v>2763</v>
      </c>
      <c r="B372" s="143">
        <v>35115</v>
      </c>
      <c r="C372" s="85" t="s">
        <v>773</v>
      </c>
      <c r="D372" s="85" t="s">
        <v>2749</v>
      </c>
      <c r="E372" s="3">
        <v>56.649711000000003</v>
      </c>
      <c r="F372" s="3">
        <v>12.842510000000001</v>
      </c>
      <c r="G372" s="85">
        <v>2.1</v>
      </c>
      <c r="H372" s="9" t="s">
        <v>150</v>
      </c>
      <c r="I372" s="14" t="s">
        <v>169</v>
      </c>
      <c r="J372" s="85" t="s">
        <v>169</v>
      </c>
      <c r="K372" s="7" t="s">
        <v>6</v>
      </c>
      <c r="L372" s="7" t="s">
        <v>2031</v>
      </c>
      <c r="M372" s="7" t="s">
        <v>2653</v>
      </c>
      <c r="N372" s="19" t="s">
        <v>1108</v>
      </c>
      <c r="O372" s="42" t="s">
        <v>160</v>
      </c>
      <c r="P372" s="42" t="s">
        <v>160</v>
      </c>
      <c r="Q372" s="44" t="s">
        <v>1145</v>
      </c>
      <c r="S372" s="19" t="s">
        <v>160</v>
      </c>
      <c r="T372" s="19" t="s">
        <v>160</v>
      </c>
      <c r="U372" s="42">
        <v>1</v>
      </c>
      <c r="V372" s="20" t="s">
        <v>160</v>
      </c>
      <c r="W372" s="20" t="s">
        <v>160</v>
      </c>
      <c r="X372" s="20" t="s">
        <v>160</v>
      </c>
      <c r="Y372" s="20" t="s">
        <v>160</v>
      </c>
      <c r="Z372" s="85"/>
      <c r="AA372" s="85"/>
      <c r="AB372" s="85"/>
      <c r="AC372" s="85"/>
      <c r="AD372" s="85"/>
      <c r="AE372" s="85"/>
      <c r="AF372" s="85"/>
      <c r="AG372" s="85"/>
      <c r="AH372" s="85"/>
      <c r="AI372" s="85"/>
      <c r="AJ372" s="85"/>
      <c r="AK372" s="85"/>
      <c r="AL372" s="85"/>
      <c r="AM372" s="85"/>
      <c r="AN372" s="85"/>
      <c r="AO372" s="85"/>
      <c r="AP372" s="85"/>
      <c r="AQ372" s="85"/>
      <c r="AR372" s="89"/>
      <c r="AS372" s="89"/>
      <c r="AT372" s="85"/>
      <c r="AU372" s="85"/>
      <c r="AV372" s="85"/>
      <c r="AW372" s="85"/>
      <c r="AX372" s="85"/>
      <c r="AY372" s="85"/>
      <c r="AZ372" s="85"/>
      <c r="BA372" s="85"/>
      <c r="BB372" s="85"/>
      <c r="BC372" s="85"/>
      <c r="BD372" s="85"/>
      <c r="BE372" s="85"/>
    </row>
    <row r="373" spans="1:57" s="94" customFormat="1" x14ac:dyDescent="0.25">
      <c r="A373" s="105" t="s">
        <v>2773</v>
      </c>
      <c r="B373" s="139" t="s">
        <v>2833</v>
      </c>
      <c r="C373" s="184" t="s">
        <v>773</v>
      </c>
      <c r="D373" s="118" t="s">
        <v>773</v>
      </c>
      <c r="E373" s="82">
        <f>56+39/60+4.4964/3600</f>
        <v>56.651249</v>
      </c>
      <c r="F373" s="82">
        <f>12+50/60+40.8012/3600</f>
        <v>12.844667000000001</v>
      </c>
      <c r="G373" s="179">
        <v>2.1</v>
      </c>
      <c r="H373" s="105" t="s">
        <v>150</v>
      </c>
      <c r="I373" s="105" t="s">
        <v>169</v>
      </c>
      <c r="J373" s="105" t="s">
        <v>169</v>
      </c>
      <c r="K373" s="105" t="s">
        <v>40</v>
      </c>
      <c r="L373" s="105" t="s">
        <v>2055</v>
      </c>
      <c r="M373" s="105" t="s">
        <v>2653</v>
      </c>
      <c r="N373" s="108" t="s">
        <v>1108</v>
      </c>
      <c r="O373" s="106" t="s">
        <v>160</v>
      </c>
      <c r="P373" s="106" t="s">
        <v>160</v>
      </c>
      <c r="Q373" s="107" t="s">
        <v>1145</v>
      </c>
      <c r="R373" s="108"/>
      <c r="S373" s="108" t="s">
        <v>160</v>
      </c>
      <c r="T373" s="108" t="s">
        <v>160</v>
      </c>
      <c r="U373" s="106">
        <v>1</v>
      </c>
      <c r="V373" s="103" t="s">
        <v>160</v>
      </c>
      <c r="W373" s="103" t="s">
        <v>160</v>
      </c>
      <c r="X373" s="103" t="s">
        <v>160</v>
      </c>
      <c r="Y373" s="103" t="s">
        <v>160</v>
      </c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 t="s">
        <v>160</v>
      </c>
      <c r="AS373" s="103" t="s">
        <v>160</v>
      </c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  <c r="BD373" s="103"/>
      <c r="BE373" s="103"/>
    </row>
    <row r="374" spans="1:57" x14ac:dyDescent="0.25">
      <c r="A374" s="7" t="s">
        <v>8</v>
      </c>
      <c r="B374" s="142" t="s">
        <v>2883</v>
      </c>
      <c r="C374" t="s">
        <v>773</v>
      </c>
      <c r="D374" t="s">
        <v>773</v>
      </c>
      <c r="E374" s="193">
        <v>56.651299999999999</v>
      </c>
      <c r="F374" s="193">
        <v>12.8447</v>
      </c>
      <c r="G374" s="43"/>
      <c r="H374" s="7" t="s">
        <v>150</v>
      </c>
      <c r="I374" s="7" t="s">
        <v>169</v>
      </c>
      <c r="J374" s="7" t="s">
        <v>169</v>
      </c>
      <c r="K374" s="7" t="s">
        <v>40</v>
      </c>
      <c r="L374" s="7" t="s">
        <v>2055</v>
      </c>
      <c r="M374" s="7" t="s">
        <v>2653</v>
      </c>
      <c r="N374" s="19" t="s">
        <v>1108</v>
      </c>
      <c r="O374" s="42" t="s">
        <v>160</v>
      </c>
      <c r="P374" s="42" t="s">
        <v>160</v>
      </c>
      <c r="Q374" s="44" t="s">
        <v>1145</v>
      </c>
      <c r="S374" s="19" t="s">
        <v>160</v>
      </c>
      <c r="T374" s="19" t="s">
        <v>160</v>
      </c>
      <c r="U374" s="42">
        <v>1</v>
      </c>
      <c r="V374" s="20" t="s">
        <v>160</v>
      </c>
      <c r="W374" s="20" t="s">
        <v>160</v>
      </c>
      <c r="X374" s="20" t="s">
        <v>160</v>
      </c>
      <c r="Y374" s="20" t="s">
        <v>160</v>
      </c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 t="s">
        <v>160</v>
      </c>
      <c r="AS374" s="20" t="s">
        <v>160</v>
      </c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</row>
    <row r="375" spans="1:57" x14ac:dyDescent="0.25">
      <c r="A375" s="9" t="s">
        <v>706</v>
      </c>
      <c r="B375" s="140">
        <v>43</v>
      </c>
      <c r="C375" s="23" t="s">
        <v>773</v>
      </c>
      <c r="D375" s="62" t="s">
        <v>35</v>
      </c>
      <c r="E375" s="3">
        <f>56+39/60+5/3600</f>
        <v>56.651388888888889</v>
      </c>
      <c r="F375" s="3">
        <f>12+50/60+41/3600</f>
        <v>12.844722222222222</v>
      </c>
      <c r="G375" s="43"/>
      <c r="H375" s="9" t="s">
        <v>150</v>
      </c>
      <c r="I375" s="7" t="s">
        <v>169</v>
      </c>
      <c r="J375" s="7" t="s">
        <v>169</v>
      </c>
      <c r="K375" s="9" t="s">
        <v>6</v>
      </c>
      <c r="L375" s="7" t="s">
        <v>2031</v>
      </c>
      <c r="M375" s="7" t="s">
        <v>2653</v>
      </c>
      <c r="N375" s="19" t="s">
        <v>1108</v>
      </c>
      <c r="O375" s="42" t="s">
        <v>160</v>
      </c>
      <c r="P375" s="42" t="s">
        <v>160</v>
      </c>
      <c r="Q375" s="44" t="s">
        <v>1145</v>
      </c>
      <c r="S375" s="19" t="s">
        <v>160</v>
      </c>
      <c r="T375" s="19" t="s">
        <v>160</v>
      </c>
      <c r="U375" s="19">
        <v>1</v>
      </c>
      <c r="V375" s="19" t="s">
        <v>160</v>
      </c>
      <c r="W375" s="19" t="s">
        <v>160</v>
      </c>
      <c r="X375" s="19" t="s">
        <v>160</v>
      </c>
      <c r="Y375" s="19" t="s">
        <v>160</v>
      </c>
      <c r="BB375" s="19"/>
      <c r="BC375" s="19"/>
      <c r="BD375" s="19"/>
      <c r="BE375" s="19"/>
    </row>
    <row r="376" spans="1:57" x14ac:dyDescent="0.25">
      <c r="A376" s="9" t="s">
        <v>706</v>
      </c>
      <c r="B376" s="38">
        <v>179</v>
      </c>
      <c r="C376" s="68" t="s">
        <v>773</v>
      </c>
      <c r="D376" s="88" t="s">
        <v>36</v>
      </c>
      <c r="E376" s="3">
        <f>56+39/60+4/3600</f>
        <v>56.651111111111106</v>
      </c>
      <c r="F376" s="3">
        <f>12+50/60+26/3600</f>
        <v>12.840555555555556</v>
      </c>
      <c r="G376" s="43"/>
      <c r="H376" s="9" t="s">
        <v>150</v>
      </c>
      <c r="I376" s="7" t="s">
        <v>169</v>
      </c>
      <c r="J376" s="7" t="s">
        <v>169</v>
      </c>
      <c r="K376" s="9" t="s">
        <v>5</v>
      </c>
      <c r="L376" s="7" t="s">
        <v>2043</v>
      </c>
      <c r="M376" s="7" t="s">
        <v>2653</v>
      </c>
      <c r="AR376" s="19" t="s">
        <v>160</v>
      </c>
      <c r="AS376" s="19" t="s">
        <v>160</v>
      </c>
      <c r="BB376" s="19"/>
      <c r="BC376" s="19"/>
      <c r="BD376" s="19"/>
      <c r="BE376" s="19"/>
    </row>
    <row r="377" spans="1:57" s="94" customFormat="1" x14ac:dyDescent="0.25">
      <c r="A377" s="98" t="s">
        <v>2773</v>
      </c>
      <c r="B377" s="135">
        <v>2103</v>
      </c>
      <c r="C377" s="98" t="s">
        <v>1922</v>
      </c>
      <c r="D377" s="98" t="s">
        <v>773</v>
      </c>
      <c r="E377" s="189">
        <f>56+39/60+36/3600</f>
        <v>56.66</v>
      </c>
      <c r="F377" s="189">
        <f>12+51/60+36/3600</f>
        <v>12.86</v>
      </c>
      <c r="G377" s="101"/>
      <c r="H377" s="98" t="s">
        <v>150</v>
      </c>
      <c r="I377" s="98" t="s">
        <v>8</v>
      </c>
      <c r="J377" s="102" t="s">
        <v>8</v>
      </c>
      <c r="K377" s="98" t="s">
        <v>6</v>
      </c>
      <c r="L377" s="102" t="s">
        <v>2030</v>
      </c>
      <c r="M377" s="102" t="s">
        <v>717</v>
      </c>
      <c r="N377" s="104" t="s">
        <v>1320</v>
      </c>
      <c r="O377" s="104"/>
      <c r="P377" s="104"/>
      <c r="Q377" s="107" t="s">
        <v>1145</v>
      </c>
      <c r="R377" s="103"/>
      <c r="S377" s="103"/>
      <c r="T377" s="103"/>
      <c r="U377" s="104">
        <v>4</v>
      </c>
      <c r="V377" s="103" t="s">
        <v>160</v>
      </c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  <c r="BD377" s="103"/>
      <c r="BE377" s="103"/>
    </row>
    <row r="378" spans="1:57" x14ac:dyDescent="0.25">
      <c r="A378" s="10" t="s">
        <v>8</v>
      </c>
      <c r="B378" s="155">
        <v>2103</v>
      </c>
      <c r="C378" s="10" t="s">
        <v>1922</v>
      </c>
      <c r="D378" s="10" t="s">
        <v>773</v>
      </c>
      <c r="E378" s="195">
        <v>56.66</v>
      </c>
      <c r="F378" s="195">
        <v>12.86</v>
      </c>
      <c r="G378" s="30"/>
      <c r="H378" s="10" t="s">
        <v>150</v>
      </c>
      <c r="I378" s="10" t="s">
        <v>8</v>
      </c>
      <c r="J378" s="24" t="s">
        <v>8</v>
      </c>
      <c r="K378" s="10" t="s">
        <v>6</v>
      </c>
      <c r="L378" s="24" t="s">
        <v>2030</v>
      </c>
      <c r="M378" s="24" t="s">
        <v>717</v>
      </c>
      <c r="N378" s="22" t="s">
        <v>1320</v>
      </c>
      <c r="O378" s="22"/>
      <c r="P378" s="22"/>
      <c r="Q378" s="44" t="s">
        <v>1145</v>
      </c>
      <c r="R378" s="20"/>
      <c r="S378" s="20"/>
      <c r="T378" s="20"/>
      <c r="U378" s="22">
        <v>4</v>
      </c>
      <c r="V378" s="20" t="s">
        <v>160</v>
      </c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</row>
    <row r="379" spans="1:57" x14ac:dyDescent="0.25">
      <c r="A379" s="9" t="s">
        <v>8</v>
      </c>
      <c r="B379" s="27">
        <v>37303</v>
      </c>
      <c r="C379" s="28" t="s">
        <v>1921</v>
      </c>
      <c r="D379" s="28" t="s">
        <v>773</v>
      </c>
      <c r="E379" s="25">
        <v>56.616700000000002</v>
      </c>
      <c r="F379" s="25">
        <v>12.8</v>
      </c>
      <c r="H379" s="10" t="s">
        <v>150</v>
      </c>
      <c r="I379" s="10" t="s">
        <v>8</v>
      </c>
      <c r="J379" s="24" t="s">
        <v>8</v>
      </c>
      <c r="K379" s="6" t="s">
        <v>2455</v>
      </c>
      <c r="L379" s="7" t="s">
        <v>2027</v>
      </c>
      <c r="M379" s="28" t="s">
        <v>717</v>
      </c>
      <c r="N379" s="19" t="s">
        <v>1856</v>
      </c>
      <c r="O379" s="22"/>
      <c r="X379" s="19" t="s">
        <v>160</v>
      </c>
      <c r="BA379" s="7"/>
      <c r="BB379" s="7"/>
      <c r="BC379" s="7"/>
      <c r="BD379" s="7"/>
      <c r="BE379" s="7"/>
    </row>
    <row r="380" spans="1:57" x14ac:dyDescent="0.25">
      <c r="A380" s="6" t="s">
        <v>8</v>
      </c>
      <c r="B380" s="9">
        <v>62390</v>
      </c>
      <c r="C380" s="9" t="s">
        <v>2242</v>
      </c>
      <c r="D380" s="9" t="s">
        <v>773</v>
      </c>
      <c r="E380" s="3">
        <v>56.674999999999997</v>
      </c>
      <c r="F380" s="3">
        <v>12.9247</v>
      </c>
      <c r="G380" s="9">
        <v>25</v>
      </c>
      <c r="H380" s="9"/>
      <c r="I380" s="6" t="s">
        <v>8</v>
      </c>
      <c r="J380" s="21" t="s">
        <v>8</v>
      </c>
      <c r="K380" s="3" t="s">
        <v>5</v>
      </c>
      <c r="L380" s="5" t="s">
        <v>2028</v>
      </c>
      <c r="M380" s="7" t="s">
        <v>717</v>
      </c>
      <c r="N380" s="19" t="s">
        <v>2564</v>
      </c>
      <c r="O380" s="22"/>
      <c r="P380" s="19" t="s">
        <v>160</v>
      </c>
      <c r="AR380" s="29"/>
      <c r="AS380" s="29"/>
      <c r="AT380" s="19" t="s">
        <v>160</v>
      </c>
      <c r="BB380" s="19"/>
      <c r="BC380" s="19"/>
      <c r="BD380" s="19"/>
      <c r="BE380" s="19"/>
    </row>
    <row r="381" spans="1:57" x14ac:dyDescent="0.25">
      <c r="A381" s="6" t="s">
        <v>8</v>
      </c>
      <c r="B381" s="9">
        <v>62400</v>
      </c>
      <c r="C381" s="7" t="s">
        <v>2251</v>
      </c>
      <c r="D381" s="9" t="s">
        <v>773</v>
      </c>
      <c r="E381" s="3">
        <v>56.674900000000001</v>
      </c>
      <c r="F381" s="3">
        <v>12.9246</v>
      </c>
      <c r="G381" s="9">
        <v>25</v>
      </c>
      <c r="H381" s="9"/>
      <c r="I381" s="6" t="s">
        <v>8</v>
      </c>
      <c r="J381" s="21" t="s">
        <v>8</v>
      </c>
      <c r="K381" s="3" t="s">
        <v>5</v>
      </c>
      <c r="L381" s="5" t="s">
        <v>2680</v>
      </c>
      <c r="M381" s="7" t="s">
        <v>717</v>
      </c>
      <c r="N381" s="19" t="s">
        <v>2565</v>
      </c>
      <c r="O381" s="22"/>
      <c r="P381" s="19" t="s">
        <v>160</v>
      </c>
      <c r="T381" s="7"/>
      <c r="AR381" s="19" t="s">
        <v>160</v>
      </c>
      <c r="AT381" s="19" t="s">
        <v>160</v>
      </c>
      <c r="AV381" s="19" t="s">
        <v>160</v>
      </c>
      <c r="AX381" s="19" t="s">
        <v>160</v>
      </c>
      <c r="AZ381" s="19" t="s">
        <v>160</v>
      </c>
      <c r="BB381" s="19"/>
      <c r="BC381" s="19"/>
      <c r="BD381" s="19"/>
      <c r="BE381" s="19"/>
    </row>
    <row r="382" spans="1:57" x14ac:dyDescent="0.25">
      <c r="A382" s="6" t="s">
        <v>8</v>
      </c>
      <c r="B382" s="9">
        <v>62410</v>
      </c>
      <c r="C382" s="9" t="s">
        <v>2244</v>
      </c>
      <c r="D382" s="9" t="s">
        <v>1399</v>
      </c>
      <c r="E382" s="3">
        <v>56.683300000000003</v>
      </c>
      <c r="F382" s="3">
        <v>12.816700000000001</v>
      </c>
      <c r="G382" s="9">
        <v>31</v>
      </c>
      <c r="H382" s="9"/>
      <c r="I382" s="21" t="s">
        <v>8</v>
      </c>
      <c r="J382" s="21" t="s">
        <v>8</v>
      </c>
      <c r="K382" s="3" t="s">
        <v>5</v>
      </c>
      <c r="L382" s="5" t="s">
        <v>2680</v>
      </c>
      <c r="M382" s="7" t="s">
        <v>2653</v>
      </c>
      <c r="N382" s="19" t="s">
        <v>2368</v>
      </c>
      <c r="O382" s="22"/>
      <c r="P382" s="19" t="s">
        <v>160</v>
      </c>
      <c r="AR382" s="19" t="s">
        <v>160</v>
      </c>
      <c r="AS382" s="19" t="s">
        <v>160</v>
      </c>
      <c r="AT382" s="19" t="s">
        <v>160</v>
      </c>
      <c r="AU382" s="19" t="s">
        <v>160</v>
      </c>
      <c r="AV382" s="19" t="s">
        <v>160</v>
      </c>
      <c r="AW382" s="19" t="s">
        <v>160</v>
      </c>
      <c r="AX382" s="19" t="s">
        <v>160</v>
      </c>
      <c r="AY382" s="19" t="s">
        <v>160</v>
      </c>
      <c r="AZ382" s="19" t="s">
        <v>160</v>
      </c>
      <c r="BA382" s="19" t="s">
        <v>160</v>
      </c>
      <c r="BB382" s="19"/>
      <c r="BC382" s="19"/>
      <c r="BD382" s="19"/>
      <c r="BE382" s="19"/>
    </row>
    <row r="383" spans="1:57" x14ac:dyDescent="0.25">
      <c r="A383" s="6" t="s">
        <v>8</v>
      </c>
      <c r="B383" s="9">
        <v>62420</v>
      </c>
      <c r="C383" s="7" t="s">
        <v>2252</v>
      </c>
      <c r="D383" s="9" t="s">
        <v>1399</v>
      </c>
      <c r="E383" s="3">
        <v>56.666699999999999</v>
      </c>
      <c r="F383" s="3">
        <v>12.85</v>
      </c>
      <c r="G383" s="9">
        <v>4</v>
      </c>
      <c r="H383" s="9"/>
      <c r="I383" s="6" t="s">
        <v>8</v>
      </c>
      <c r="J383" s="21" t="s">
        <v>8</v>
      </c>
      <c r="K383" s="3" t="s">
        <v>5</v>
      </c>
      <c r="L383" s="5" t="s">
        <v>2690</v>
      </c>
      <c r="M383" s="7" t="s">
        <v>717</v>
      </c>
      <c r="N383" s="19" t="s">
        <v>2369</v>
      </c>
      <c r="O383" s="22"/>
      <c r="P383" s="19" t="s">
        <v>160</v>
      </c>
      <c r="AR383" s="19" t="s">
        <v>160</v>
      </c>
      <c r="AT383" s="19" t="s">
        <v>160</v>
      </c>
      <c r="AV383" s="19" t="s">
        <v>160</v>
      </c>
      <c r="AZ383" s="19" t="s">
        <v>160</v>
      </c>
      <c r="BB383" s="19"/>
      <c r="BC383" s="19"/>
      <c r="BD383" s="19"/>
      <c r="BE383" s="19"/>
    </row>
    <row r="384" spans="1:57" s="94" customFormat="1" x14ac:dyDescent="0.25">
      <c r="A384" s="9" t="s">
        <v>707</v>
      </c>
      <c r="B384" s="39" t="s">
        <v>288</v>
      </c>
      <c r="C384" s="39" t="s">
        <v>894</v>
      </c>
      <c r="D384" s="40" t="s">
        <v>289</v>
      </c>
      <c r="E384" s="46" t="s">
        <v>2103</v>
      </c>
      <c r="F384" s="46" t="s">
        <v>2104</v>
      </c>
      <c r="G384" s="40"/>
      <c r="H384" s="9" t="s">
        <v>150</v>
      </c>
      <c r="I384" s="41" t="s">
        <v>169</v>
      </c>
      <c r="J384" s="41" t="s">
        <v>169</v>
      </c>
      <c r="K384" s="40" t="s">
        <v>5</v>
      </c>
      <c r="L384" s="41" t="s">
        <v>2043</v>
      </c>
      <c r="M384" s="7" t="s">
        <v>2653</v>
      </c>
      <c r="N384" s="19"/>
      <c r="O384" s="19"/>
      <c r="P384" s="19"/>
      <c r="Q384" s="19"/>
      <c r="R384" s="19"/>
      <c r="S384" s="19"/>
      <c r="T384" s="19"/>
      <c r="U384" s="19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 t="s">
        <v>160</v>
      </c>
      <c r="AS384" s="42" t="s">
        <v>160</v>
      </c>
      <c r="AT384" s="19"/>
      <c r="AU384" s="19"/>
      <c r="AV384" s="19"/>
      <c r="AW384" s="19"/>
      <c r="AX384" s="19"/>
      <c r="AY384" s="19"/>
      <c r="AZ384" s="42"/>
      <c r="BA384" s="42"/>
      <c r="BB384" s="42"/>
      <c r="BC384" s="42"/>
      <c r="BD384" s="42"/>
      <c r="BE384" s="42"/>
    </row>
    <row r="385" spans="1:57" x14ac:dyDescent="0.25">
      <c r="A385" s="114" t="s">
        <v>2773</v>
      </c>
      <c r="B385" s="110" t="s">
        <v>2860</v>
      </c>
      <c r="C385" s="115" t="s">
        <v>894</v>
      </c>
      <c r="D385" s="153" t="s">
        <v>37</v>
      </c>
      <c r="E385" s="93">
        <f>57+53/60+46.7988/3600</f>
        <v>57.896332999999998</v>
      </c>
      <c r="F385" s="93">
        <f>11+28/60+1.8012/3600</f>
        <v>11.467167</v>
      </c>
      <c r="G385" s="93"/>
      <c r="H385" s="94" t="s">
        <v>150</v>
      </c>
      <c r="I385" s="102" t="s">
        <v>169</v>
      </c>
      <c r="J385" s="102" t="s">
        <v>169</v>
      </c>
      <c r="K385" s="102" t="s">
        <v>5</v>
      </c>
      <c r="L385" s="102" t="s">
        <v>2043</v>
      </c>
      <c r="M385" s="105" t="s">
        <v>2653</v>
      </c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/>
      <c r="AD385" s="108"/>
      <c r="AE385" s="108"/>
      <c r="AF385" s="108"/>
      <c r="AG385" s="108"/>
      <c r="AH385" s="108"/>
      <c r="AI385" s="108"/>
      <c r="AJ385" s="108"/>
      <c r="AK385" s="108"/>
      <c r="AL385" s="108"/>
      <c r="AM385" s="108"/>
      <c r="AN385" s="108"/>
      <c r="AO385" s="108"/>
      <c r="AP385" s="108"/>
      <c r="AQ385" s="108"/>
      <c r="AR385" s="108" t="s">
        <v>160</v>
      </c>
      <c r="AS385" s="108" t="s">
        <v>160</v>
      </c>
      <c r="AT385" s="108"/>
      <c r="AU385" s="108"/>
      <c r="AV385" s="108"/>
      <c r="AW385" s="108"/>
      <c r="AX385" s="108"/>
      <c r="AY385" s="108"/>
      <c r="AZ385" s="108"/>
      <c r="BA385" s="108"/>
      <c r="BB385" s="108"/>
      <c r="BC385" s="108"/>
      <c r="BD385" s="108"/>
      <c r="BE385" s="108"/>
    </row>
    <row r="386" spans="1:57" x14ac:dyDescent="0.25">
      <c r="A386" s="6" t="s">
        <v>8</v>
      </c>
      <c r="B386" s="23">
        <v>35116</v>
      </c>
      <c r="C386" s="39" t="s">
        <v>894</v>
      </c>
      <c r="D386" s="24" t="s">
        <v>803</v>
      </c>
      <c r="E386" s="162">
        <f>57+53/60+46.7988/3600</f>
        <v>57.896332999999998</v>
      </c>
      <c r="F386" s="162">
        <f>11+28/60+1.8012/3600</f>
        <v>11.467167</v>
      </c>
      <c r="G386" s="5"/>
      <c r="H386" s="9" t="s">
        <v>150</v>
      </c>
      <c r="I386" s="24" t="s">
        <v>169</v>
      </c>
      <c r="J386" s="24" t="s">
        <v>169</v>
      </c>
      <c r="K386" s="24" t="s">
        <v>5</v>
      </c>
      <c r="L386" s="24" t="s">
        <v>2043</v>
      </c>
      <c r="M386" s="7" t="s">
        <v>2653</v>
      </c>
      <c r="AR386" s="19" t="s">
        <v>160</v>
      </c>
      <c r="AS386" s="19" t="s">
        <v>160</v>
      </c>
      <c r="BB386" s="19"/>
      <c r="BC386" s="19"/>
      <c r="BD386" s="19"/>
      <c r="BE386" s="19"/>
    </row>
    <row r="387" spans="1:57" x14ac:dyDescent="0.25">
      <c r="A387" s="9" t="s">
        <v>706</v>
      </c>
      <c r="B387" s="38">
        <v>113</v>
      </c>
      <c r="C387" s="39" t="s">
        <v>894</v>
      </c>
      <c r="D387" s="62" t="s">
        <v>37</v>
      </c>
      <c r="E387" s="3">
        <f>57+53/60+47/3600</f>
        <v>57.896388888888886</v>
      </c>
      <c r="F387" s="3">
        <f>11+28/60+2/3600</f>
        <v>11.467222222222222</v>
      </c>
      <c r="G387" s="5"/>
      <c r="H387" s="9" t="s">
        <v>150</v>
      </c>
      <c r="I387" s="7" t="s">
        <v>169</v>
      </c>
      <c r="J387" s="7" t="s">
        <v>169</v>
      </c>
      <c r="K387" s="9" t="s">
        <v>5</v>
      </c>
      <c r="L387" s="7" t="s">
        <v>2043</v>
      </c>
      <c r="M387" s="7" t="s">
        <v>2653</v>
      </c>
      <c r="AR387" s="19" t="s">
        <v>160</v>
      </c>
      <c r="AS387" s="19" t="s">
        <v>160</v>
      </c>
      <c r="BB387" s="19"/>
      <c r="BC387" s="19"/>
      <c r="BD387" s="19"/>
      <c r="BE387" s="19"/>
    </row>
    <row r="388" spans="1:57" s="94" customFormat="1" x14ac:dyDescent="0.25">
      <c r="A388" s="98" t="s">
        <v>2773</v>
      </c>
      <c r="B388" s="135">
        <v>2090</v>
      </c>
      <c r="C388" s="98" t="s">
        <v>1267</v>
      </c>
      <c r="D388" s="98" t="s">
        <v>1231</v>
      </c>
      <c r="E388" s="189">
        <f>56+36/3600</f>
        <v>56.01</v>
      </c>
      <c r="F388" s="189">
        <f>14+50/60+24/3600</f>
        <v>14.84</v>
      </c>
      <c r="G388" s="101"/>
      <c r="H388" s="98" t="s">
        <v>150</v>
      </c>
      <c r="I388" s="98" t="s">
        <v>8</v>
      </c>
      <c r="J388" s="102" t="s">
        <v>8</v>
      </c>
      <c r="K388" s="98" t="s">
        <v>6</v>
      </c>
      <c r="L388" s="102" t="s">
        <v>2030</v>
      </c>
      <c r="M388" s="102" t="s">
        <v>717</v>
      </c>
      <c r="N388" s="104" t="s">
        <v>1308</v>
      </c>
      <c r="O388" s="104"/>
      <c r="P388" s="104"/>
      <c r="Q388" s="103" t="s">
        <v>1653</v>
      </c>
      <c r="R388" s="103"/>
      <c r="S388" s="103"/>
      <c r="T388" s="103"/>
      <c r="U388" s="104">
        <v>4</v>
      </c>
      <c r="V388" s="103" t="s">
        <v>160</v>
      </c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  <c r="BD388" s="103"/>
      <c r="BE388" s="103"/>
    </row>
    <row r="389" spans="1:57" x14ac:dyDescent="0.25">
      <c r="A389" s="10" t="s">
        <v>8</v>
      </c>
      <c r="B389" s="155">
        <v>2090</v>
      </c>
      <c r="C389" s="10" t="s">
        <v>1267</v>
      </c>
      <c r="D389" s="10" t="s">
        <v>1231</v>
      </c>
      <c r="E389" s="195">
        <v>56.01</v>
      </c>
      <c r="F389" s="195">
        <v>14.84</v>
      </c>
      <c r="G389" s="30"/>
      <c r="H389" s="10" t="s">
        <v>150</v>
      </c>
      <c r="I389" s="10" t="s">
        <v>8</v>
      </c>
      <c r="J389" s="24" t="s">
        <v>8</v>
      </c>
      <c r="K389" s="10" t="s">
        <v>6</v>
      </c>
      <c r="L389" s="24" t="s">
        <v>2030</v>
      </c>
      <c r="M389" s="24" t="s">
        <v>717</v>
      </c>
      <c r="N389" s="22" t="s">
        <v>1308</v>
      </c>
      <c r="O389" s="22"/>
      <c r="P389" s="22"/>
      <c r="Q389" s="20" t="s">
        <v>1653</v>
      </c>
      <c r="R389" s="20"/>
      <c r="S389" s="20"/>
      <c r="T389" s="20"/>
      <c r="U389" s="22">
        <v>4</v>
      </c>
      <c r="V389" s="20" t="s">
        <v>160</v>
      </c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</row>
    <row r="390" spans="1:57" x14ac:dyDescent="0.25">
      <c r="A390" s="9" t="s">
        <v>8</v>
      </c>
      <c r="B390" s="27">
        <v>37216</v>
      </c>
      <c r="C390" s="28" t="s">
        <v>1920</v>
      </c>
      <c r="D390" s="28" t="s">
        <v>1231</v>
      </c>
      <c r="E390" s="25">
        <v>56</v>
      </c>
      <c r="F390" s="25">
        <v>14.833299999999999</v>
      </c>
      <c r="H390" s="10" t="s">
        <v>150</v>
      </c>
      <c r="I390" s="10" t="s">
        <v>8</v>
      </c>
      <c r="J390" s="24" t="s">
        <v>8</v>
      </c>
      <c r="K390" s="6" t="s">
        <v>2455</v>
      </c>
      <c r="L390" s="7" t="s">
        <v>2027</v>
      </c>
      <c r="M390" s="28" t="s">
        <v>717</v>
      </c>
      <c r="N390" s="19" t="s">
        <v>1841</v>
      </c>
      <c r="O390" s="22"/>
      <c r="T390" s="7"/>
      <c r="X390" s="19" t="s">
        <v>160</v>
      </c>
      <c r="BA390" s="7"/>
      <c r="BB390" s="7"/>
      <c r="BC390" s="7"/>
      <c r="BD390" s="7"/>
      <c r="BE390" s="7"/>
    </row>
    <row r="391" spans="1:57" x14ac:dyDescent="0.25">
      <c r="A391" s="6" t="s">
        <v>8</v>
      </c>
      <c r="B391" s="9">
        <v>64020</v>
      </c>
      <c r="C391" s="9" t="s">
        <v>2316</v>
      </c>
      <c r="D391" s="9" t="s">
        <v>1231</v>
      </c>
      <c r="E391" s="3">
        <v>56.013300000000001</v>
      </c>
      <c r="F391" s="3">
        <v>14.849600000000001</v>
      </c>
      <c r="G391" s="9">
        <v>55</v>
      </c>
      <c r="H391" s="9" t="s">
        <v>150</v>
      </c>
      <c r="I391" s="6" t="s">
        <v>8</v>
      </c>
      <c r="J391" s="21" t="s">
        <v>8</v>
      </c>
      <c r="K391" s="3" t="s">
        <v>5</v>
      </c>
      <c r="L391" s="5" t="s">
        <v>174</v>
      </c>
      <c r="M391" s="5" t="s">
        <v>717</v>
      </c>
      <c r="N391" s="19" t="s">
        <v>2585</v>
      </c>
      <c r="O391" s="22"/>
      <c r="P391" s="19" t="s">
        <v>160</v>
      </c>
      <c r="AR391" s="29"/>
      <c r="AS391" s="29"/>
      <c r="AT391" s="29"/>
      <c r="AU391" s="29"/>
      <c r="AV391" s="29" t="s">
        <v>160</v>
      </c>
      <c r="BB391" s="19"/>
      <c r="BC391" s="19"/>
      <c r="BD391" s="19"/>
      <c r="BE391" s="19"/>
    </row>
    <row r="392" spans="1:57" s="94" customFormat="1" x14ac:dyDescent="0.25">
      <c r="A392" s="32" t="s">
        <v>707</v>
      </c>
      <c r="B392" s="33"/>
      <c r="C392" s="33" t="s">
        <v>1400</v>
      </c>
      <c r="D392" s="33" t="s">
        <v>1401</v>
      </c>
      <c r="E392" s="35"/>
      <c r="F392" s="35"/>
      <c r="G392" s="33"/>
      <c r="H392" s="33" t="s">
        <v>150</v>
      </c>
      <c r="I392" s="21" t="s">
        <v>8</v>
      </c>
      <c r="J392" s="32" t="s">
        <v>8</v>
      </c>
      <c r="K392" s="35" t="s">
        <v>5</v>
      </c>
      <c r="L392" s="35" t="s">
        <v>2043</v>
      </c>
      <c r="M392" s="33" t="s">
        <v>2653</v>
      </c>
      <c r="N392" s="37" t="s">
        <v>2385</v>
      </c>
      <c r="O392" s="67"/>
      <c r="P392" s="37" t="s">
        <v>160</v>
      </c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 t="s">
        <v>160</v>
      </c>
      <c r="AS392" s="37" t="s">
        <v>160</v>
      </c>
      <c r="AT392" s="37"/>
      <c r="AU392" s="37"/>
      <c r="AV392" s="37"/>
      <c r="AW392" s="37"/>
      <c r="AX392" s="37"/>
      <c r="AY392" s="37"/>
      <c r="AZ392" s="37"/>
      <c r="BA392" s="37"/>
      <c r="BB392" s="37"/>
      <c r="BC392" s="37"/>
      <c r="BD392" s="37"/>
      <c r="BE392" s="37"/>
    </row>
    <row r="393" spans="1:57" x14ac:dyDescent="0.25">
      <c r="A393" s="114" t="s">
        <v>2773</v>
      </c>
      <c r="B393" s="94" t="s">
        <v>2859</v>
      </c>
      <c r="C393" s="94" t="s">
        <v>1400</v>
      </c>
      <c r="D393" s="153" t="s">
        <v>1401</v>
      </c>
      <c r="E393" s="93">
        <f>56+0/60+48.6/3600</f>
        <v>56.013500000000001</v>
      </c>
      <c r="F393" s="93">
        <f>14+50/60+46.68/3600</f>
        <v>14.846300000000001</v>
      </c>
      <c r="G393" s="94">
        <v>58.622</v>
      </c>
      <c r="H393" s="94" t="s">
        <v>150</v>
      </c>
      <c r="I393" s="122" t="s">
        <v>8</v>
      </c>
      <c r="J393" s="122" t="s">
        <v>8</v>
      </c>
      <c r="K393" s="82" t="s">
        <v>5</v>
      </c>
      <c r="L393" s="93" t="s">
        <v>2681</v>
      </c>
      <c r="M393" s="105" t="s">
        <v>2653</v>
      </c>
      <c r="N393" s="108" t="s">
        <v>2385</v>
      </c>
      <c r="O393" s="104"/>
      <c r="P393" s="108" t="s">
        <v>160</v>
      </c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  <c r="AA393" s="108"/>
      <c r="AB393" s="108"/>
      <c r="AC393" s="108"/>
      <c r="AD393" s="108"/>
      <c r="AE393" s="108"/>
      <c r="AF393" s="108"/>
      <c r="AG393" s="108"/>
      <c r="AH393" s="108"/>
      <c r="AI393" s="108"/>
      <c r="AJ393" s="108"/>
      <c r="AK393" s="108"/>
      <c r="AL393" s="108"/>
      <c r="AM393" s="108"/>
      <c r="AN393" s="108"/>
      <c r="AO393" s="108"/>
      <c r="AP393" s="108"/>
      <c r="AQ393" s="108"/>
      <c r="AR393" s="108" t="s">
        <v>160</v>
      </c>
      <c r="AS393" s="108" t="s">
        <v>160</v>
      </c>
      <c r="AT393" s="108" t="s">
        <v>160</v>
      </c>
      <c r="AU393" s="108" t="s">
        <v>160</v>
      </c>
      <c r="AV393" s="108"/>
      <c r="AW393" s="108"/>
      <c r="AX393" s="108" t="s">
        <v>160</v>
      </c>
      <c r="AY393" s="108" t="s">
        <v>160</v>
      </c>
      <c r="AZ393" s="108" t="s">
        <v>160</v>
      </c>
      <c r="BA393" s="108" t="s">
        <v>160</v>
      </c>
      <c r="BB393" s="108"/>
      <c r="BC393" s="108"/>
      <c r="BD393" s="108"/>
      <c r="BE393" s="108"/>
    </row>
    <row r="394" spans="1:57" s="33" customFormat="1" x14ac:dyDescent="0.25">
      <c r="A394" s="6" t="s">
        <v>8</v>
      </c>
      <c r="B394" s="9">
        <v>64020</v>
      </c>
      <c r="C394" s="9" t="s">
        <v>1400</v>
      </c>
      <c r="D394" s="9" t="s">
        <v>1401</v>
      </c>
      <c r="E394" s="162">
        <f>56+0/60+48.6/3600</f>
        <v>56.013500000000001</v>
      </c>
      <c r="F394" s="162">
        <f>14+50/60+46.68/3600</f>
        <v>14.846300000000001</v>
      </c>
      <c r="G394" s="9">
        <v>58.622</v>
      </c>
      <c r="H394" s="9" t="s">
        <v>150</v>
      </c>
      <c r="I394" s="21" t="s">
        <v>8</v>
      </c>
      <c r="J394" s="21" t="s">
        <v>8</v>
      </c>
      <c r="K394" s="3" t="s">
        <v>5</v>
      </c>
      <c r="L394" s="5" t="s">
        <v>2681</v>
      </c>
      <c r="M394" s="7" t="s">
        <v>2653</v>
      </c>
      <c r="N394" s="19" t="s">
        <v>2385</v>
      </c>
      <c r="O394" s="22"/>
      <c r="P394" s="19" t="s">
        <v>160</v>
      </c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 t="s">
        <v>160</v>
      </c>
      <c r="AS394" s="19" t="s">
        <v>160</v>
      </c>
      <c r="AT394" s="19" t="s">
        <v>160</v>
      </c>
      <c r="AU394" s="19" t="s">
        <v>160</v>
      </c>
      <c r="AV394" s="19"/>
      <c r="AW394" s="19"/>
      <c r="AX394" s="19" t="s">
        <v>160</v>
      </c>
      <c r="AY394" s="19" t="s">
        <v>160</v>
      </c>
      <c r="AZ394" s="19" t="s">
        <v>160</v>
      </c>
      <c r="BA394" s="19" t="s">
        <v>160</v>
      </c>
      <c r="BB394" s="19"/>
      <c r="BC394" s="19"/>
      <c r="BD394" s="19"/>
      <c r="BE394" s="19"/>
    </row>
    <row r="395" spans="1:57" x14ac:dyDescent="0.25">
      <c r="A395" s="6" t="s">
        <v>706</v>
      </c>
      <c r="B395" s="9">
        <v>213</v>
      </c>
      <c r="C395" s="9" t="s">
        <v>1400</v>
      </c>
      <c r="D395" s="62" t="s">
        <v>2661</v>
      </c>
      <c r="E395" s="3">
        <f>56+0/60+49/3600</f>
        <v>56.013611111111111</v>
      </c>
      <c r="F395" s="3">
        <f>14+50/60+47/3600</f>
        <v>14.846388888888889</v>
      </c>
      <c r="G395" s="9"/>
      <c r="H395" s="9" t="s">
        <v>150</v>
      </c>
      <c r="I395" s="21" t="s">
        <v>8</v>
      </c>
      <c r="J395" s="21" t="s">
        <v>8</v>
      </c>
      <c r="K395" s="3" t="s">
        <v>5</v>
      </c>
      <c r="L395" s="5" t="s">
        <v>2043</v>
      </c>
      <c r="M395" s="7" t="s">
        <v>2653</v>
      </c>
      <c r="N395" s="19" t="s">
        <v>2385</v>
      </c>
      <c r="O395" s="22"/>
      <c r="P395" s="19" t="s">
        <v>160</v>
      </c>
      <c r="AR395" s="19" t="s">
        <v>160</v>
      </c>
      <c r="AS395" s="19" t="s">
        <v>160</v>
      </c>
      <c r="BB395" s="19"/>
      <c r="BC395" s="19"/>
      <c r="BD395" s="19"/>
      <c r="BE395" s="19"/>
    </row>
    <row r="396" spans="1:57" x14ac:dyDescent="0.25">
      <c r="A396" s="9" t="s">
        <v>8</v>
      </c>
      <c r="B396" s="26">
        <v>33045</v>
      </c>
      <c r="C396" s="24" t="s">
        <v>1017</v>
      </c>
      <c r="D396" s="24" t="s">
        <v>1018</v>
      </c>
      <c r="E396" s="25">
        <f>55+51/60+52.56/3600</f>
        <v>55.864600000000003</v>
      </c>
      <c r="F396" s="25">
        <f>14+34/70+32.4/3600</f>
        <v>14.494714285714286</v>
      </c>
      <c r="G396" s="55"/>
      <c r="H396" s="9" t="s">
        <v>150</v>
      </c>
      <c r="I396" s="10" t="s">
        <v>8</v>
      </c>
      <c r="J396" s="24" t="s">
        <v>8</v>
      </c>
      <c r="K396" s="9" t="s">
        <v>951</v>
      </c>
      <c r="L396" s="7" t="s">
        <v>2587</v>
      </c>
      <c r="M396" s="7" t="s">
        <v>717</v>
      </c>
      <c r="N396" s="42" t="s">
        <v>2588</v>
      </c>
      <c r="O396" s="22"/>
      <c r="P396" s="42"/>
      <c r="S396" s="19" t="s">
        <v>160</v>
      </c>
      <c r="T396" s="19" t="s">
        <v>160</v>
      </c>
      <c r="U396" s="42"/>
      <c r="X396" s="19" t="s">
        <v>160</v>
      </c>
      <c r="Z396" s="19" t="s">
        <v>160</v>
      </c>
      <c r="AB396" s="19" t="s">
        <v>160</v>
      </c>
      <c r="AL396" s="19" t="s">
        <v>160</v>
      </c>
      <c r="BB396" s="19"/>
      <c r="BC396" s="19"/>
      <c r="BD396" s="19"/>
      <c r="BE396" s="19"/>
    </row>
    <row r="397" spans="1:57" x14ac:dyDescent="0.25">
      <c r="A397" s="9" t="s">
        <v>8</v>
      </c>
      <c r="B397" s="26">
        <v>33046</v>
      </c>
      <c r="C397" s="24" t="s">
        <v>1019</v>
      </c>
      <c r="D397" s="24" t="s">
        <v>1020</v>
      </c>
      <c r="E397" s="25">
        <f>55+52/60+39.84/3600</f>
        <v>55.877733333333332</v>
      </c>
      <c r="F397" s="25">
        <f>14+32/60+39.84/3600</f>
        <v>14.5444</v>
      </c>
      <c r="G397" s="55"/>
      <c r="H397" s="9" t="s">
        <v>150</v>
      </c>
      <c r="I397" s="10" t="s">
        <v>8</v>
      </c>
      <c r="J397" s="24" t="s">
        <v>8</v>
      </c>
      <c r="K397" s="9" t="s">
        <v>951</v>
      </c>
      <c r="L397" s="7" t="s">
        <v>2032</v>
      </c>
      <c r="M397" s="7" t="s">
        <v>717</v>
      </c>
      <c r="N397" s="42" t="s">
        <v>2588</v>
      </c>
      <c r="O397" s="22"/>
      <c r="P397" s="42"/>
      <c r="S397" s="19" t="s">
        <v>160</v>
      </c>
      <c r="T397" s="19" t="s">
        <v>160</v>
      </c>
      <c r="U397" s="42"/>
      <c r="X397" s="19" t="s">
        <v>160</v>
      </c>
      <c r="Z397" s="19" t="s">
        <v>160</v>
      </c>
      <c r="BB397" s="19"/>
      <c r="BC397" s="19"/>
      <c r="BD397" s="19"/>
      <c r="BE397" s="19"/>
    </row>
    <row r="398" spans="1:57" x14ac:dyDescent="0.25">
      <c r="A398" s="9" t="s">
        <v>8</v>
      </c>
      <c r="B398" s="26">
        <v>33039</v>
      </c>
      <c r="C398" s="24" t="s">
        <v>1704</v>
      </c>
      <c r="D398" s="24" t="s">
        <v>1703</v>
      </c>
      <c r="E398" s="25">
        <v>55.618099999999998</v>
      </c>
      <c r="F398" s="25">
        <v>14.864599999999999</v>
      </c>
      <c r="G398" s="55"/>
      <c r="H398" s="9" t="s">
        <v>150</v>
      </c>
      <c r="I398" s="10" t="s">
        <v>8</v>
      </c>
      <c r="J398" s="24" t="s">
        <v>8</v>
      </c>
      <c r="K398" s="9" t="s">
        <v>951</v>
      </c>
      <c r="L398" s="7" t="s">
        <v>2587</v>
      </c>
      <c r="M398" s="7" t="s">
        <v>717</v>
      </c>
      <c r="N398" s="42" t="s">
        <v>1705</v>
      </c>
      <c r="O398" s="22"/>
      <c r="P398" s="42" t="s">
        <v>160</v>
      </c>
      <c r="S398" s="19" t="s">
        <v>160</v>
      </c>
      <c r="T398" s="19" t="s">
        <v>160</v>
      </c>
      <c r="U398" s="42"/>
      <c r="X398" s="19" t="s">
        <v>160</v>
      </c>
      <c r="Z398" s="19" t="s">
        <v>160</v>
      </c>
      <c r="AB398" s="19" t="s">
        <v>160</v>
      </c>
      <c r="AL398" s="19" t="s">
        <v>160</v>
      </c>
      <c r="AM398" s="19" t="s">
        <v>160</v>
      </c>
      <c r="BB398" s="19"/>
      <c r="BC398" s="19"/>
      <c r="BD398" s="19"/>
      <c r="BE398" s="19"/>
    </row>
    <row r="399" spans="1:57" x14ac:dyDescent="0.25">
      <c r="A399" s="9" t="s">
        <v>8</v>
      </c>
      <c r="B399" s="26">
        <v>33042</v>
      </c>
      <c r="C399" s="24" t="s">
        <v>1011</v>
      </c>
      <c r="D399" s="24" t="s">
        <v>1012</v>
      </c>
      <c r="E399" s="25">
        <f>55+52/60+39.18/3600</f>
        <v>55.877549999999999</v>
      </c>
      <c r="F399" s="25">
        <f>14+32/60+24.48/3600</f>
        <v>14.540133333333333</v>
      </c>
      <c r="G399" s="55"/>
      <c r="H399" s="9" t="s">
        <v>150</v>
      </c>
      <c r="I399" s="10" t="s">
        <v>8</v>
      </c>
      <c r="J399" s="24" t="s">
        <v>8</v>
      </c>
      <c r="K399" s="9" t="s">
        <v>951</v>
      </c>
      <c r="L399" s="7" t="s">
        <v>2587</v>
      </c>
      <c r="M399" s="7" t="s">
        <v>717</v>
      </c>
      <c r="N399" s="42" t="s">
        <v>2588</v>
      </c>
      <c r="O399" s="22"/>
      <c r="P399" s="42"/>
      <c r="S399" s="19" t="s">
        <v>160</v>
      </c>
      <c r="T399" s="19" t="s">
        <v>160</v>
      </c>
      <c r="U399" s="42"/>
      <c r="X399" s="19" t="s">
        <v>160</v>
      </c>
      <c r="Z399" s="19" t="s">
        <v>160</v>
      </c>
      <c r="AB399" s="19" t="s">
        <v>160</v>
      </c>
      <c r="AL399" s="19" t="s">
        <v>160</v>
      </c>
      <c r="BB399" s="19"/>
      <c r="BC399" s="19"/>
      <c r="BD399" s="19"/>
      <c r="BE399" s="19"/>
    </row>
    <row r="400" spans="1:57" s="94" customFormat="1" x14ac:dyDescent="0.25">
      <c r="A400" s="94" t="s">
        <v>2773</v>
      </c>
      <c r="B400" s="139" t="s">
        <v>2882</v>
      </c>
      <c r="C400" s="115" t="s">
        <v>961</v>
      </c>
      <c r="D400" s="184" t="s">
        <v>1581</v>
      </c>
      <c r="E400" s="84">
        <f>65+46/60+17.98/3600</f>
        <v>65.771661111111115</v>
      </c>
      <c r="F400" s="84">
        <f>23+54/60+10.66/3600</f>
        <v>23.902961111111111</v>
      </c>
      <c r="G400" s="82"/>
      <c r="H400" s="94" t="s">
        <v>150</v>
      </c>
      <c r="I400" s="94" t="s">
        <v>8</v>
      </c>
      <c r="J400" s="105" t="s">
        <v>8</v>
      </c>
      <c r="K400" s="94" t="s">
        <v>6</v>
      </c>
      <c r="L400" s="105" t="s">
        <v>2030</v>
      </c>
      <c r="M400" s="105" t="s">
        <v>717</v>
      </c>
      <c r="N400" s="108" t="s">
        <v>1126</v>
      </c>
      <c r="O400" s="104"/>
      <c r="P400" s="108"/>
      <c r="Q400" s="108" t="s">
        <v>1146</v>
      </c>
      <c r="R400" s="108"/>
      <c r="S400" s="108" t="s">
        <v>160</v>
      </c>
      <c r="T400" s="108" t="s">
        <v>160</v>
      </c>
      <c r="U400" s="108">
        <v>4</v>
      </c>
      <c r="V400" s="108" t="s">
        <v>160</v>
      </c>
      <c r="W400" s="108"/>
      <c r="X400" s="108"/>
      <c r="Y400" s="108"/>
      <c r="Z400" s="108"/>
      <c r="AA400" s="108"/>
      <c r="AB400" s="108"/>
      <c r="AC400" s="108"/>
      <c r="AD400" s="108"/>
      <c r="AE400" s="108"/>
      <c r="AF400" s="108"/>
      <c r="AG400" s="108"/>
      <c r="AH400" s="108"/>
      <c r="AI400" s="108"/>
      <c r="AJ400" s="108"/>
      <c r="AK400" s="108"/>
      <c r="AL400" s="108"/>
      <c r="AM400" s="108"/>
      <c r="AN400" s="108"/>
      <c r="AO400" s="108"/>
      <c r="AP400" s="108"/>
      <c r="AQ400" s="108"/>
      <c r="AR400" s="108"/>
      <c r="AS400" s="108"/>
      <c r="AT400" s="108"/>
      <c r="AU400" s="108"/>
      <c r="AV400" s="108"/>
      <c r="AW400" s="108"/>
      <c r="AX400" s="108"/>
      <c r="AY400" s="108"/>
      <c r="AZ400" s="108"/>
      <c r="BA400" s="108"/>
      <c r="BB400" s="108"/>
      <c r="BC400" s="108"/>
      <c r="BD400" s="108"/>
      <c r="BE400" s="108"/>
    </row>
    <row r="401" spans="1:57" x14ac:dyDescent="0.25">
      <c r="A401" s="9" t="s">
        <v>8</v>
      </c>
      <c r="B401" s="142">
        <v>2588</v>
      </c>
      <c r="C401" s="39" t="s">
        <v>961</v>
      </c>
      <c r="D401" t="s">
        <v>1581</v>
      </c>
      <c r="E401" s="193">
        <v>65.771699999999996</v>
      </c>
      <c r="F401" s="193">
        <v>23.902899999999999</v>
      </c>
      <c r="H401" s="9" t="s">
        <v>150</v>
      </c>
      <c r="I401" s="9" t="s">
        <v>8</v>
      </c>
      <c r="J401" s="7" t="s">
        <v>8</v>
      </c>
      <c r="K401" s="9" t="s">
        <v>6</v>
      </c>
      <c r="L401" s="7" t="s">
        <v>2030</v>
      </c>
      <c r="M401" s="7" t="s">
        <v>717</v>
      </c>
      <c r="N401" s="19" t="s">
        <v>1126</v>
      </c>
      <c r="O401" s="22"/>
      <c r="Q401" s="19" t="s">
        <v>1146</v>
      </c>
      <c r="S401" s="19" t="s">
        <v>160</v>
      </c>
      <c r="T401" s="19" t="s">
        <v>160</v>
      </c>
      <c r="U401" s="19">
        <v>4</v>
      </c>
      <c r="V401" s="19" t="s">
        <v>160</v>
      </c>
      <c r="BB401" s="19"/>
      <c r="BC401" s="19"/>
      <c r="BD401" s="19"/>
      <c r="BE401" s="19"/>
    </row>
    <row r="402" spans="1:57" x14ac:dyDescent="0.25">
      <c r="A402" s="6" t="s">
        <v>8</v>
      </c>
      <c r="B402" s="9">
        <v>163950</v>
      </c>
      <c r="C402" s="9" t="s">
        <v>2241</v>
      </c>
      <c r="D402" s="9" t="s">
        <v>961</v>
      </c>
      <c r="E402" s="3">
        <v>65.836699999999993</v>
      </c>
      <c r="F402" s="3">
        <v>24.113</v>
      </c>
      <c r="G402" s="9">
        <v>5</v>
      </c>
      <c r="H402" s="9" t="s">
        <v>150</v>
      </c>
      <c r="I402" s="6" t="s">
        <v>8</v>
      </c>
      <c r="J402" s="21" t="s">
        <v>8</v>
      </c>
      <c r="K402" s="3" t="s">
        <v>5</v>
      </c>
      <c r="L402" s="5" t="s">
        <v>2680</v>
      </c>
      <c r="M402" s="7" t="s">
        <v>717</v>
      </c>
      <c r="N402" s="19" t="s">
        <v>2478</v>
      </c>
      <c r="O402" s="22"/>
      <c r="P402" s="19" t="s">
        <v>160</v>
      </c>
      <c r="AR402" s="19" t="s">
        <v>160</v>
      </c>
      <c r="AT402" s="19" t="s">
        <v>160</v>
      </c>
      <c r="AV402" s="19" t="s">
        <v>160</v>
      </c>
      <c r="AX402" s="19" t="s">
        <v>160</v>
      </c>
      <c r="AZ402" s="19" t="s">
        <v>160</v>
      </c>
      <c r="BB402" s="19"/>
      <c r="BC402" s="19"/>
      <c r="BD402" s="19"/>
      <c r="BE402" s="19"/>
    </row>
    <row r="403" spans="1:57" x14ac:dyDescent="0.25">
      <c r="A403" s="6" t="s">
        <v>8</v>
      </c>
      <c r="B403" s="9">
        <v>163960</v>
      </c>
      <c r="C403" s="9" t="s">
        <v>1402</v>
      </c>
      <c r="D403" s="9" t="s">
        <v>1403</v>
      </c>
      <c r="E403" s="3">
        <v>65.823700000000002</v>
      </c>
      <c r="F403" s="3">
        <v>24.1112</v>
      </c>
      <c r="G403" s="9">
        <v>13.243</v>
      </c>
      <c r="H403" s="9" t="s">
        <v>150</v>
      </c>
      <c r="I403" s="21" t="s">
        <v>8</v>
      </c>
      <c r="J403" s="21" t="s">
        <v>8</v>
      </c>
      <c r="K403" s="3" t="s">
        <v>5</v>
      </c>
      <c r="L403" s="5" t="s">
        <v>2680</v>
      </c>
      <c r="M403" s="7" t="s">
        <v>2653</v>
      </c>
      <c r="N403" s="19" t="s">
        <v>2479</v>
      </c>
      <c r="O403" s="22"/>
      <c r="P403" s="19" t="s">
        <v>160</v>
      </c>
      <c r="AR403" s="19" t="s">
        <v>160</v>
      </c>
      <c r="AS403" s="19" t="s">
        <v>160</v>
      </c>
      <c r="AT403" s="19" t="s">
        <v>160</v>
      </c>
      <c r="AU403" s="19" t="s">
        <v>160</v>
      </c>
      <c r="AV403" s="19" t="s">
        <v>160</v>
      </c>
      <c r="AW403" s="19" t="s">
        <v>160</v>
      </c>
      <c r="AX403" s="19" t="s">
        <v>160</v>
      </c>
      <c r="AY403" s="19" t="s">
        <v>160</v>
      </c>
      <c r="AZ403" s="19" t="s">
        <v>160</v>
      </c>
      <c r="BA403" s="19" t="s">
        <v>160</v>
      </c>
      <c r="BB403" s="19"/>
      <c r="BC403" s="19"/>
      <c r="BD403" s="19"/>
      <c r="BE403" s="19"/>
    </row>
    <row r="404" spans="1:57" x14ac:dyDescent="0.25">
      <c r="A404" s="6" t="s">
        <v>8</v>
      </c>
      <c r="B404" s="9">
        <v>161780</v>
      </c>
      <c r="C404" s="9" t="s">
        <v>2435</v>
      </c>
      <c r="D404" s="9" t="s">
        <v>1404</v>
      </c>
      <c r="E404" s="3">
        <v>65.239099999999993</v>
      </c>
      <c r="F404" s="3">
        <v>21.631699999999999</v>
      </c>
      <c r="G404" s="9">
        <v>4</v>
      </c>
      <c r="H404" s="9" t="s">
        <v>150</v>
      </c>
      <c r="I404" s="6" t="s">
        <v>8</v>
      </c>
      <c r="J404" s="21" t="s">
        <v>8</v>
      </c>
      <c r="K404" s="3" t="s">
        <v>5</v>
      </c>
      <c r="L404" s="5" t="s">
        <v>2680</v>
      </c>
      <c r="M404" s="7" t="s">
        <v>717</v>
      </c>
      <c r="N404" s="19" t="s">
        <v>2480</v>
      </c>
      <c r="O404" s="22"/>
      <c r="P404" s="19" t="s">
        <v>160</v>
      </c>
      <c r="AR404" s="19" t="s">
        <v>160</v>
      </c>
      <c r="AT404" s="19" t="s">
        <v>160</v>
      </c>
      <c r="AV404" s="19" t="s">
        <v>160</v>
      </c>
      <c r="AX404" s="19" t="s">
        <v>160</v>
      </c>
      <c r="AZ404" s="19" t="s">
        <v>160</v>
      </c>
      <c r="BB404" s="19"/>
      <c r="BC404" s="19"/>
      <c r="BD404" s="19"/>
      <c r="BE404" s="19"/>
    </row>
    <row r="405" spans="1:57" x14ac:dyDescent="0.25">
      <c r="A405" s="6" t="s">
        <v>8</v>
      </c>
      <c r="B405" s="9">
        <v>108600</v>
      </c>
      <c r="C405" s="9" t="s">
        <v>2370</v>
      </c>
      <c r="D405" s="9" t="s">
        <v>1405</v>
      </c>
      <c r="E405" s="3">
        <v>60.182899999999997</v>
      </c>
      <c r="F405" s="3">
        <v>18.3964</v>
      </c>
      <c r="G405" s="9">
        <v>15</v>
      </c>
      <c r="H405" s="3" t="s">
        <v>150</v>
      </c>
      <c r="I405" s="6" t="s">
        <v>8</v>
      </c>
      <c r="J405" s="21" t="s">
        <v>8</v>
      </c>
      <c r="K405" s="3" t="s">
        <v>5</v>
      </c>
      <c r="L405" s="5" t="s">
        <v>2028</v>
      </c>
      <c r="M405" s="5" t="s">
        <v>717</v>
      </c>
      <c r="N405" s="19" t="s">
        <v>2566</v>
      </c>
      <c r="O405" s="22"/>
      <c r="P405" s="19" t="s">
        <v>160</v>
      </c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19" t="s">
        <v>160</v>
      </c>
      <c r="BB405" s="19"/>
      <c r="BC405" s="19"/>
      <c r="BD405" s="19"/>
      <c r="BE405" s="19"/>
    </row>
    <row r="406" spans="1:57" s="94" customFormat="1" x14ac:dyDescent="0.25">
      <c r="A406" s="9" t="s">
        <v>707</v>
      </c>
      <c r="B406" s="39" t="s">
        <v>290</v>
      </c>
      <c r="C406" s="39" t="s">
        <v>895</v>
      </c>
      <c r="D406" s="40" t="s">
        <v>291</v>
      </c>
      <c r="E406" s="46" t="s">
        <v>2182</v>
      </c>
      <c r="F406" s="46" t="s">
        <v>2185</v>
      </c>
      <c r="G406" s="40"/>
      <c r="H406" s="9" t="s">
        <v>150</v>
      </c>
      <c r="I406" s="41" t="s">
        <v>2640</v>
      </c>
      <c r="J406" s="24" t="s">
        <v>169</v>
      </c>
      <c r="K406" s="7" t="s">
        <v>5</v>
      </c>
      <c r="L406" s="7" t="s">
        <v>2043</v>
      </c>
      <c r="M406" s="33" t="s">
        <v>2653</v>
      </c>
      <c r="N406" s="19" t="s">
        <v>2633</v>
      </c>
      <c r="O406" s="37"/>
      <c r="P406" s="37"/>
      <c r="Q406" s="44"/>
      <c r="R406" s="37"/>
      <c r="S406" s="19"/>
      <c r="T406" s="19"/>
      <c r="U406" s="19"/>
      <c r="V406" s="59"/>
      <c r="W406" s="59"/>
      <c r="X406" s="59"/>
      <c r="Y406" s="59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 t="s">
        <v>160</v>
      </c>
      <c r="AS406" s="42" t="s">
        <v>160</v>
      </c>
      <c r="AT406" s="19"/>
      <c r="AU406" s="19"/>
      <c r="AV406" s="19"/>
      <c r="AW406" s="19"/>
      <c r="AX406" s="19"/>
      <c r="AY406" s="19"/>
      <c r="AZ406" s="42"/>
      <c r="BA406" s="42"/>
      <c r="BB406" s="42"/>
      <c r="BC406" s="42"/>
      <c r="BD406" s="42"/>
      <c r="BE406" s="42"/>
    </row>
    <row r="407" spans="1:57" x14ac:dyDescent="0.25">
      <c r="A407" s="114" t="s">
        <v>2773</v>
      </c>
      <c r="B407" s="110" t="s">
        <v>2853</v>
      </c>
      <c r="C407" s="115" t="s">
        <v>895</v>
      </c>
      <c r="D407" s="153" t="s">
        <v>38</v>
      </c>
      <c r="E407" s="84">
        <f>60+10/60+23.736/3600</f>
        <v>60.173259999999999</v>
      </c>
      <c r="F407" s="84">
        <f>18+27/60+42.12/3600</f>
        <v>18.4617</v>
      </c>
      <c r="G407" s="93"/>
      <c r="H407" s="94" t="s">
        <v>150</v>
      </c>
      <c r="I407" s="113" t="s">
        <v>2640</v>
      </c>
      <c r="J407" s="102" t="s">
        <v>169</v>
      </c>
      <c r="K407" s="105" t="s">
        <v>5</v>
      </c>
      <c r="L407" s="105" t="s">
        <v>2043</v>
      </c>
      <c r="M407" s="116" t="s">
        <v>2653</v>
      </c>
      <c r="N407" s="108" t="s">
        <v>2633</v>
      </c>
      <c r="O407" s="121"/>
      <c r="P407" s="121"/>
      <c r="Q407" s="107"/>
      <c r="R407" s="121"/>
      <c r="S407" s="108"/>
      <c r="T407" s="108"/>
      <c r="U407" s="108"/>
      <c r="V407" s="121"/>
      <c r="W407" s="121"/>
      <c r="X407" s="121"/>
      <c r="Y407" s="121"/>
      <c r="Z407" s="108"/>
      <c r="AA407" s="108"/>
      <c r="AB407" s="108"/>
      <c r="AC407" s="108"/>
      <c r="AD407" s="108"/>
      <c r="AE407" s="108"/>
      <c r="AF407" s="108"/>
      <c r="AG407" s="108"/>
      <c r="AH407" s="108"/>
      <c r="AI407" s="108"/>
      <c r="AJ407" s="108"/>
      <c r="AK407" s="108"/>
      <c r="AL407" s="108"/>
      <c r="AM407" s="108"/>
      <c r="AN407" s="108"/>
      <c r="AO407" s="108"/>
      <c r="AP407" s="108"/>
      <c r="AQ407" s="108"/>
      <c r="AR407" s="108" t="s">
        <v>160</v>
      </c>
      <c r="AS407" s="108" t="s">
        <v>160</v>
      </c>
      <c r="AT407" s="108"/>
      <c r="AU407" s="108"/>
      <c r="AV407" s="108"/>
      <c r="AW407" s="108"/>
      <c r="AX407" s="108"/>
      <c r="AY407" s="108"/>
      <c r="AZ407" s="108"/>
      <c r="BA407" s="108"/>
      <c r="BB407" s="108"/>
      <c r="BC407" s="108"/>
      <c r="BD407" s="108"/>
      <c r="BE407" s="108"/>
    </row>
    <row r="408" spans="1:57" x14ac:dyDescent="0.25">
      <c r="A408" s="6" t="s">
        <v>8</v>
      </c>
      <c r="B408" s="23">
        <v>35210</v>
      </c>
      <c r="C408" s="39" t="s">
        <v>895</v>
      </c>
      <c r="D408" s="24" t="s">
        <v>804</v>
      </c>
      <c r="E408" s="25">
        <f>60+10/60+23.736/3600</f>
        <v>60.173259999999999</v>
      </c>
      <c r="F408" s="25">
        <f>18+27/60+42.12/3600</f>
        <v>18.4617</v>
      </c>
      <c r="G408" s="5"/>
      <c r="H408" s="9" t="s">
        <v>150</v>
      </c>
      <c r="I408" s="41" t="s">
        <v>2640</v>
      </c>
      <c r="J408" s="24" t="s">
        <v>169</v>
      </c>
      <c r="K408" s="7" t="s">
        <v>5</v>
      </c>
      <c r="L408" s="7" t="s">
        <v>2043</v>
      </c>
      <c r="M408" s="33" t="s">
        <v>2653</v>
      </c>
      <c r="N408" s="19" t="s">
        <v>2633</v>
      </c>
      <c r="O408" s="37"/>
      <c r="P408" s="37"/>
      <c r="Q408" s="44"/>
      <c r="R408" s="37"/>
      <c r="V408" s="37"/>
      <c r="W408" s="37"/>
      <c r="X408" s="37"/>
      <c r="Y408" s="37"/>
      <c r="AR408" s="19" t="s">
        <v>160</v>
      </c>
      <c r="AS408" s="19" t="s">
        <v>160</v>
      </c>
      <c r="BB408" s="19"/>
      <c r="BC408" s="19"/>
      <c r="BD408" s="19"/>
      <c r="BE408" s="19"/>
    </row>
    <row r="409" spans="1:57" x14ac:dyDescent="0.25">
      <c r="A409" s="9" t="s">
        <v>706</v>
      </c>
      <c r="B409" s="38">
        <v>44</v>
      </c>
      <c r="C409" s="39" t="s">
        <v>895</v>
      </c>
      <c r="D409" s="62" t="s">
        <v>38</v>
      </c>
      <c r="E409" s="35">
        <f>60+10/60+12/3600</f>
        <v>60.169999999999995</v>
      </c>
      <c r="F409" s="35">
        <f>18+28/60+55/3600</f>
        <v>18.481944444444444</v>
      </c>
      <c r="G409" s="5"/>
      <c r="H409" s="9" t="s">
        <v>150</v>
      </c>
      <c r="I409" s="41" t="s">
        <v>2640</v>
      </c>
      <c r="J409" s="7" t="s">
        <v>169</v>
      </c>
      <c r="K409" s="7" t="s">
        <v>5</v>
      </c>
      <c r="L409" s="7" t="s">
        <v>2043</v>
      </c>
      <c r="M409" s="33" t="s">
        <v>2653</v>
      </c>
      <c r="N409" s="19" t="s">
        <v>2633</v>
      </c>
      <c r="O409" s="37"/>
      <c r="P409" s="37"/>
      <c r="Q409" s="44"/>
      <c r="R409" s="37"/>
      <c r="V409" s="37"/>
      <c r="W409" s="37"/>
      <c r="X409" s="37"/>
      <c r="Y409" s="37"/>
      <c r="AR409" s="19" t="s">
        <v>160</v>
      </c>
      <c r="AS409" s="19" t="s">
        <v>160</v>
      </c>
      <c r="BB409" s="19"/>
      <c r="BC409" s="19"/>
      <c r="BD409" s="19"/>
      <c r="BE409" s="19"/>
    </row>
    <row r="410" spans="1:57" x14ac:dyDescent="0.25">
      <c r="A410" s="6" t="s">
        <v>8</v>
      </c>
      <c r="B410" s="9">
        <v>128370</v>
      </c>
      <c r="C410" s="9" t="s">
        <v>2366</v>
      </c>
      <c r="D410" s="9" t="s">
        <v>1406</v>
      </c>
      <c r="E410" s="3">
        <v>62.618299999999998</v>
      </c>
      <c r="F410" s="3">
        <v>18.061800000000002</v>
      </c>
      <c r="G410" s="9">
        <v>10</v>
      </c>
      <c r="H410" s="9" t="s">
        <v>150</v>
      </c>
      <c r="I410" s="6" t="s">
        <v>8</v>
      </c>
      <c r="J410" s="21" t="s">
        <v>8</v>
      </c>
      <c r="K410" s="3" t="s">
        <v>5</v>
      </c>
      <c r="L410" s="5" t="s">
        <v>2680</v>
      </c>
      <c r="M410" s="7" t="s">
        <v>717</v>
      </c>
      <c r="N410" s="19" t="s">
        <v>2481</v>
      </c>
      <c r="O410" s="22"/>
      <c r="P410" s="19" t="s">
        <v>160</v>
      </c>
      <c r="AR410" s="19" t="s">
        <v>160</v>
      </c>
      <c r="AT410" s="19" t="s">
        <v>160</v>
      </c>
      <c r="AV410" s="19" t="s">
        <v>160</v>
      </c>
      <c r="AX410" s="19" t="s">
        <v>160</v>
      </c>
      <c r="AZ410" s="19" t="s">
        <v>160</v>
      </c>
      <c r="BB410" s="19"/>
      <c r="BC410" s="19"/>
      <c r="BD410" s="19"/>
      <c r="BE410" s="19"/>
    </row>
    <row r="411" spans="1:57" x14ac:dyDescent="0.25">
      <c r="A411" s="6" t="s">
        <v>8</v>
      </c>
      <c r="B411" s="9">
        <v>127380</v>
      </c>
      <c r="C411" s="9" t="s">
        <v>2365</v>
      </c>
      <c r="D411" s="9" t="s">
        <v>1407</v>
      </c>
      <c r="E411" s="3">
        <v>62.636400000000002</v>
      </c>
      <c r="F411" s="3">
        <v>17.921399999999998</v>
      </c>
      <c r="G411" s="9">
        <v>17.655000000000001</v>
      </c>
      <c r="H411" s="9" t="s">
        <v>150</v>
      </c>
      <c r="I411" s="21" t="s">
        <v>8</v>
      </c>
      <c r="J411" s="21" t="s">
        <v>8</v>
      </c>
      <c r="K411" s="3" t="s">
        <v>5</v>
      </c>
      <c r="L411" s="5" t="s">
        <v>2028</v>
      </c>
      <c r="M411" s="5" t="s">
        <v>2653</v>
      </c>
      <c r="N411" s="19" t="s">
        <v>2567</v>
      </c>
      <c r="O411" s="22"/>
      <c r="P411" s="19" t="s">
        <v>160</v>
      </c>
      <c r="AR411" s="29"/>
      <c r="AS411" s="29"/>
      <c r="AT411" s="19" t="s">
        <v>160</v>
      </c>
      <c r="AU411" s="19" t="s">
        <v>160</v>
      </c>
      <c r="BB411" s="19"/>
      <c r="BC411" s="19"/>
      <c r="BD411" s="19"/>
      <c r="BE411" s="19"/>
    </row>
    <row r="412" spans="1:57" x14ac:dyDescent="0.25">
      <c r="A412" s="6" t="s">
        <v>8</v>
      </c>
      <c r="B412" s="9">
        <v>127380</v>
      </c>
      <c r="C412" s="9" t="s">
        <v>2365</v>
      </c>
      <c r="D412" s="9" t="s">
        <v>1407</v>
      </c>
      <c r="E412" s="3">
        <v>62.628</v>
      </c>
      <c r="F412" s="3">
        <v>17.947099999999999</v>
      </c>
      <c r="G412" s="9">
        <v>8</v>
      </c>
      <c r="H412" s="9" t="s">
        <v>150</v>
      </c>
      <c r="I412" s="6" t="s">
        <v>8</v>
      </c>
      <c r="J412" s="21" t="s">
        <v>8</v>
      </c>
      <c r="K412" s="3" t="s">
        <v>5</v>
      </c>
      <c r="L412" s="5" t="s">
        <v>2059</v>
      </c>
      <c r="M412" s="7" t="s">
        <v>717</v>
      </c>
      <c r="N412" s="19" t="s">
        <v>2482</v>
      </c>
      <c r="O412" s="22"/>
      <c r="P412" s="19" t="s">
        <v>160</v>
      </c>
      <c r="AR412" s="19" t="s">
        <v>160</v>
      </c>
      <c r="AV412" s="19" t="s">
        <v>160</v>
      </c>
      <c r="AX412" s="19" t="s">
        <v>160</v>
      </c>
      <c r="AZ412" s="19" t="s">
        <v>160</v>
      </c>
      <c r="BB412" s="19"/>
      <c r="BC412" s="19"/>
      <c r="BD412" s="19"/>
      <c r="BE412" s="19"/>
    </row>
    <row r="413" spans="1:57" x14ac:dyDescent="0.25">
      <c r="A413" s="9" t="s">
        <v>8</v>
      </c>
      <c r="B413" s="27">
        <v>37203</v>
      </c>
      <c r="C413" s="28" t="s">
        <v>2371</v>
      </c>
      <c r="D413" s="28" t="s">
        <v>1732</v>
      </c>
      <c r="E413" s="25">
        <v>59.083300000000001</v>
      </c>
      <c r="F413" s="25">
        <v>18.166699999999999</v>
      </c>
      <c r="H413" s="9" t="s">
        <v>150</v>
      </c>
      <c r="I413" s="6" t="s">
        <v>8</v>
      </c>
      <c r="J413" s="21" t="s">
        <v>8</v>
      </c>
      <c r="K413" s="6" t="s">
        <v>2455</v>
      </c>
      <c r="L413" s="7" t="s">
        <v>2027</v>
      </c>
      <c r="M413" s="28" t="s">
        <v>717</v>
      </c>
      <c r="N413" s="19" t="s">
        <v>1832</v>
      </c>
      <c r="O413" s="22"/>
      <c r="T413" s="7"/>
      <c r="X413" s="19" t="s">
        <v>160</v>
      </c>
      <c r="BA413" s="7"/>
      <c r="BB413" s="7"/>
      <c r="BC413" s="7"/>
      <c r="BD413" s="7"/>
      <c r="BE413" s="7"/>
    </row>
    <row r="414" spans="1:57" x14ac:dyDescent="0.25">
      <c r="A414" s="9" t="s">
        <v>8</v>
      </c>
      <c r="B414" s="26">
        <v>33031</v>
      </c>
      <c r="C414" s="24" t="s">
        <v>1005</v>
      </c>
      <c r="D414" s="24" t="s">
        <v>1006</v>
      </c>
      <c r="E414" s="25">
        <f>59+2/60+10.8/3600</f>
        <v>59.036333333333332</v>
      </c>
      <c r="F414" s="25">
        <f>18+7/60+13.8/3600</f>
        <v>18.1205</v>
      </c>
      <c r="G414" s="55"/>
      <c r="H414" s="9" t="s">
        <v>150</v>
      </c>
      <c r="I414" s="10" t="s">
        <v>8</v>
      </c>
      <c r="J414" s="24" t="s">
        <v>8</v>
      </c>
      <c r="K414" s="9" t="s">
        <v>951</v>
      </c>
      <c r="L414" s="7" t="s">
        <v>2050</v>
      </c>
      <c r="M414" s="7" t="s">
        <v>717</v>
      </c>
      <c r="N414" s="42">
        <v>2015</v>
      </c>
      <c r="O414" s="22"/>
      <c r="P414" s="42" t="s">
        <v>160</v>
      </c>
      <c r="S414" s="19" t="s">
        <v>160</v>
      </c>
      <c r="T414" s="19" t="s">
        <v>160</v>
      </c>
      <c r="U414" s="42"/>
      <c r="X414" s="19" t="s">
        <v>160</v>
      </c>
      <c r="AN414" s="19" t="s">
        <v>160</v>
      </c>
      <c r="BB414" s="19"/>
      <c r="BC414" s="19"/>
      <c r="BD414" s="19"/>
      <c r="BE414" s="19"/>
    </row>
    <row r="415" spans="1:57" x14ac:dyDescent="0.25">
      <c r="A415" s="6" t="s">
        <v>8</v>
      </c>
      <c r="B415" s="9">
        <v>87150</v>
      </c>
      <c r="C415" s="9" t="s">
        <v>2372</v>
      </c>
      <c r="D415" s="9" t="s">
        <v>1408</v>
      </c>
      <c r="E415" s="3">
        <v>58.2502</v>
      </c>
      <c r="F415" s="3">
        <v>17.009499999999999</v>
      </c>
      <c r="G415" s="9">
        <v>5</v>
      </c>
      <c r="H415" s="9" t="s">
        <v>150</v>
      </c>
      <c r="I415" s="6" t="s">
        <v>8</v>
      </c>
      <c r="J415" s="21" t="s">
        <v>8</v>
      </c>
      <c r="K415" s="3" t="s">
        <v>5</v>
      </c>
      <c r="L415" s="5" t="s">
        <v>2680</v>
      </c>
      <c r="M415" s="7" t="s">
        <v>717</v>
      </c>
      <c r="N415" s="19" t="s">
        <v>2373</v>
      </c>
      <c r="O415" s="22"/>
      <c r="P415" s="19" t="s">
        <v>160</v>
      </c>
      <c r="AR415" s="19" t="s">
        <v>160</v>
      </c>
      <c r="AT415" s="19" t="s">
        <v>160</v>
      </c>
      <c r="AV415" s="19" t="s">
        <v>160</v>
      </c>
      <c r="AX415" s="19" t="s">
        <v>160</v>
      </c>
      <c r="AZ415" s="19" t="s">
        <v>160</v>
      </c>
      <c r="BB415" s="19"/>
      <c r="BC415" s="19"/>
      <c r="BD415" s="19"/>
      <c r="BE415" s="19"/>
    </row>
    <row r="416" spans="1:57" s="94" customFormat="1" x14ac:dyDescent="0.25">
      <c r="A416" s="32" t="s">
        <v>707</v>
      </c>
      <c r="B416" s="33"/>
      <c r="C416" s="33" t="s">
        <v>1409</v>
      </c>
      <c r="D416" s="33" t="s">
        <v>1410</v>
      </c>
      <c r="E416" s="35"/>
      <c r="F416" s="35"/>
      <c r="G416" s="33"/>
      <c r="H416" s="33" t="s">
        <v>150</v>
      </c>
      <c r="I416" s="21" t="s">
        <v>8</v>
      </c>
      <c r="J416" s="32" t="s">
        <v>8</v>
      </c>
      <c r="K416" s="35" t="s">
        <v>5</v>
      </c>
      <c r="L416" s="35" t="s">
        <v>2043</v>
      </c>
      <c r="M416" s="33" t="s">
        <v>2653</v>
      </c>
      <c r="N416" s="37" t="s">
        <v>2303</v>
      </c>
      <c r="O416" s="67"/>
      <c r="P416" s="37" t="s">
        <v>160</v>
      </c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 t="s">
        <v>160</v>
      </c>
      <c r="AS416" s="37" t="s">
        <v>160</v>
      </c>
      <c r="AT416" s="37"/>
      <c r="AU416" s="37"/>
      <c r="AV416" s="37"/>
      <c r="AW416" s="37"/>
      <c r="AX416" s="37"/>
      <c r="AY416" s="37"/>
      <c r="AZ416" s="37"/>
      <c r="BA416" s="37"/>
      <c r="BB416" s="37"/>
      <c r="BC416" s="37"/>
      <c r="BD416" s="37"/>
      <c r="BE416" s="37"/>
    </row>
    <row r="417" spans="1:57" x14ac:dyDescent="0.25">
      <c r="A417" s="114" t="s">
        <v>2773</v>
      </c>
      <c r="B417" s="94" t="s">
        <v>2854</v>
      </c>
      <c r="C417" s="94" t="s">
        <v>1409</v>
      </c>
      <c r="D417" s="163" t="s">
        <v>1410</v>
      </c>
      <c r="E417" s="93">
        <f>59+15/60+1.8/3600</f>
        <v>59.250500000000002</v>
      </c>
      <c r="F417" s="93">
        <f>17+0/60+38.16/3600</f>
        <v>17.0106</v>
      </c>
      <c r="G417" s="94">
        <v>14</v>
      </c>
      <c r="H417" s="94" t="s">
        <v>150</v>
      </c>
      <c r="I417" s="122" t="s">
        <v>8</v>
      </c>
      <c r="J417" s="122" t="s">
        <v>8</v>
      </c>
      <c r="K417" s="82" t="s">
        <v>5</v>
      </c>
      <c r="L417" s="93" t="s">
        <v>2680</v>
      </c>
      <c r="M417" s="105" t="s">
        <v>2653</v>
      </c>
      <c r="N417" s="108" t="s">
        <v>2303</v>
      </c>
      <c r="O417" s="104"/>
      <c r="P417" s="108" t="s">
        <v>160</v>
      </c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108"/>
      <c r="AB417" s="108"/>
      <c r="AC417" s="108"/>
      <c r="AD417" s="108"/>
      <c r="AE417" s="108"/>
      <c r="AF417" s="108"/>
      <c r="AG417" s="108"/>
      <c r="AH417" s="108"/>
      <c r="AI417" s="108"/>
      <c r="AJ417" s="108"/>
      <c r="AK417" s="108"/>
      <c r="AL417" s="108"/>
      <c r="AM417" s="108"/>
      <c r="AN417" s="108"/>
      <c r="AO417" s="108"/>
      <c r="AP417" s="108"/>
      <c r="AQ417" s="108"/>
      <c r="AR417" s="108" t="s">
        <v>160</v>
      </c>
      <c r="AS417" s="108" t="s">
        <v>160</v>
      </c>
      <c r="AT417" s="108" t="s">
        <v>160</v>
      </c>
      <c r="AU417" s="108" t="s">
        <v>160</v>
      </c>
      <c r="AV417" s="108" t="s">
        <v>160</v>
      </c>
      <c r="AW417" s="108" t="s">
        <v>160</v>
      </c>
      <c r="AX417" s="108" t="s">
        <v>160</v>
      </c>
      <c r="AY417" s="108" t="s">
        <v>160</v>
      </c>
      <c r="AZ417" s="108" t="s">
        <v>160</v>
      </c>
      <c r="BA417" s="108" t="s">
        <v>160</v>
      </c>
      <c r="BB417" s="108"/>
      <c r="BC417" s="108"/>
      <c r="BD417" s="108"/>
      <c r="BE417" s="108"/>
    </row>
    <row r="418" spans="1:57" s="33" customFormat="1" x14ac:dyDescent="0.25">
      <c r="A418" s="6" t="s">
        <v>8</v>
      </c>
      <c r="B418" s="9">
        <v>87140</v>
      </c>
      <c r="C418" s="9" t="s">
        <v>1409</v>
      </c>
      <c r="D418" s="9" t="s">
        <v>1410</v>
      </c>
      <c r="E418" s="5">
        <f>59+15/60+1.8/3600</f>
        <v>59.250500000000002</v>
      </c>
      <c r="F418" s="5">
        <f>17+0/60+38.16/3600</f>
        <v>17.0106</v>
      </c>
      <c r="G418" s="9">
        <v>14</v>
      </c>
      <c r="H418" s="9" t="s">
        <v>150</v>
      </c>
      <c r="I418" s="21" t="s">
        <v>8</v>
      </c>
      <c r="J418" s="21" t="s">
        <v>8</v>
      </c>
      <c r="K418" s="3" t="s">
        <v>5</v>
      </c>
      <c r="L418" s="5" t="s">
        <v>2680</v>
      </c>
      <c r="M418" s="7" t="s">
        <v>2653</v>
      </c>
      <c r="N418" s="19" t="s">
        <v>2303</v>
      </c>
      <c r="O418" s="22"/>
      <c r="P418" s="19" t="s">
        <v>160</v>
      </c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 t="s">
        <v>160</v>
      </c>
      <c r="AS418" s="19" t="s">
        <v>160</v>
      </c>
      <c r="AT418" s="19" t="s">
        <v>160</v>
      </c>
      <c r="AU418" s="19" t="s">
        <v>160</v>
      </c>
      <c r="AV418" s="19" t="s">
        <v>160</v>
      </c>
      <c r="AW418" s="19" t="s">
        <v>160</v>
      </c>
      <c r="AX418" s="19" t="s">
        <v>160</v>
      </c>
      <c r="AY418" s="19" t="s">
        <v>160</v>
      </c>
      <c r="AZ418" s="19" t="s">
        <v>160</v>
      </c>
      <c r="BA418" s="19" t="s">
        <v>160</v>
      </c>
      <c r="BB418" s="19"/>
      <c r="BC418" s="19"/>
      <c r="BD418" s="19"/>
      <c r="BE418" s="19"/>
    </row>
    <row r="419" spans="1:57" x14ac:dyDescent="0.25">
      <c r="A419" s="6" t="s">
        <v>706</v>
      </c>
      <c r="B419" s="9">
        <v>214</v>
      </c>
      <c r="C419" s="9" t="s">
        <v>1409</v>
      </c>
      <c r="D419" s="88" t="s">
        <v>2662</v>
      </c>
      <c r="E419" s="3">
        <f>58+15/60+2/3600</f>
        <v>58.250555555555557</v>
      </c>
      <c r="F419" s="3">
        <f>17+0/60+27/3600</f>
        <v>17.0075</v>
      </c>
      <c r="G419" s="9"/>
      <c r="H419" s="9" t="s">
        <v>150</v>
      </c>
      <c r="I419" s="21" t="s">
        <v>8</v>
      </c>
      <c r="J419" s="21" t="s">
        <v>8</v>
      </c>
      <c r="K419" s="3" t="s">
        <v>5</v>
      </c>
      <c r="L419" s="5" t="s">
        <v>2043</v>
      </c>
      <c r="M419" s="7" t="s">
        <v>2653</v>
      </c>
      <c r="N419" s="19" t="s">
        <v>2303</v>
      </c>
      <c r="O419" s="22"/>
      <c r="P419" s="19" t="s">
        <v>160</v>
      </c>
      <c r="AR419" s="19" t="s">
        <v>160</v>
      </c>
      <c r="AS419" s="19" t="s">
        <v>160</v>
      </c>
      <c r="BB419" s="19"/>
      <c r="BC419" s="19"/>
      <c r="BD419" s="19"/>
      <c r="BE419" s="19"/>
    </row>
    <row r="420" spans="1:57" x14ac:dyDescent="0.25">
      <c r="A420" s="9" t="s">
        <v>8</v>
      </c>
      <c r="B420" s="26">
        <v>35018</v>
      </c>
      <c r="C420" s="24" t="s">
        <v>1058</v>
      </c>
      <c r="D420" t="s">
        <v>1059</v>
      </c>
      <c r="E420" s="25">
        <f>57+56/60</f>
        <v>57.93333333333333</v>
      </c>
      <c r="F420" s="25">
        <f>11+39/60</f>
        <v>11.65</v>
      </c>
      <c r="G420" s="9"/>
      <c r="H420" s="9" t="s">
        <v>150</v>
      </c>
      <c r="I420" s="9" t="s">
        <v>8</v>
      </c>
      <c r="J420" s="7" t="s">
        <v>8</v>
      </c>
      <c r="K420" s="10" t="s">
        <v>951</v>
      </c>
      <c r="L420" s="7" t="s">
        <v>2684</v>
      </c>
      <c r="M420" s="7" t="s">
        <v>717</v>
      </c>
      <c r="N420" s="42" t="s">
        <v>1332</v>
      </c>
      <c r="O420" s="22"/>
      <c r="P420" s="42"/>
      <c r="S420" s="19" t="s">
        <v>160</v>
      </c>
      <c r="T420" s="19" t="s">
        <v>160</v>
      </c>
      <c r="U420" s="42"/>
      <c r="X420" s="19" t="s">
        <v>160</v>
      </c>
      <c r="Z420" s="19" t="s">
        <v>160</v>
      </c>
      <c r="AL420" s="19" t="s">
        <v>160</v>
      </c>
      <c r="AR420" s="19" t="s">
        <v>160</v>
      </c>
      <c r="AT420" s="19" t="s">
        <v>160</v>
      </c>
      <c r="AV420" s="19" t="s">
        <v>160</v>
      </c>
      <c r="BB420" s="19"/>
      <c r="BC420" s="19"/>
      <c r="BD420" s="19"/>
      <c r="BE420" s="19"/>
    </row>
    <row r="421" spans="1:57" x14ac:dyDescent="0.25">
      <c r="A421" s="9" t="s">
        <v>8</v>
      </c>
      <c r="B421" s="26">
        <v>35006</v>
      </c>
      <c r="C421" s="24" t="s">
        <v>902</v>
      </c>
      <c r="D421" t="s">
        <v>1037</v>
      </c>
      <c r="E421" s="25">
        <f>58+33/60</f>
        <v>58.55</v>
      </c>
      <c r="F421" s="25">
        <f>17+31/60</f>
        <v>17.516666666666666</v>
      </c>
      <c r="G421" s="9"/>
      <c r="H421" s="9" t="s">
        <v>150</v>
      </c>
      <c r="I421" s="9" t="s">
        <v>8</v>
      </c>
      <c r="J421" s="7" t="s">
        <v>8</v>
      </c>
      <c r="K421" s="10" t="s">
        <v>953</v>
      </c>
      <c r="L421" s="7" t="s">
        <v>2685</v>
      </c>
      <c r="M421" s="7" t="s">
        <v>717</v>
      </c>
      <c r="N421" s="42" t="s">
        <v>1341</v>
      </c>
      <c r="O421" s="22"/>
      <c r="P421" s="42"/>
      <c r="S421" s="19" t="s">
        <v>160</v>
      </c>
      <c r="T421" s="19" t="s">
        <v>160</v>
      </c>
      <c r="U421" s="42"/>
      <c r="X421" s="19" t="s">
        <v>160</v>
      </c>
      <c r="Z421" s="19" t="s">
        <v>160</v>
      </c>
      <c r="AL421" s="19" t="s">
        <v>160</v>
      </c>
      <c r="AR421" s="19" t="s">
        <v>160</v>
      </c>
      <c r="AT421" s="19" t="s">
        <v>160</v>
      </c>
      <c r="BB421" s="19"/>
      <c r="BC421" s="19"/>
      <c r="BD421" s="19"/>
      <c r="BE421" s="19"/>
    </row>
    <row r="422" spans="1:57" s="94" customFormat="1" x14ac:dyDescent="0.25">
      <c r="A422" s="9" t="s">
        <v>707</v>
      </c>
      <c r="B422" s="39" t="s">
        <v>330</v>
      </c>
      <c r="C422" s="39" t="s">
        <v>2290</v>
      </c>
      <c r="D422" s="40" t="s">
        <v>331</v>
      </c>
      <c r="E422" s="46" t="s">
        <v>2183</v>
      </c>
      <c r="F422" s="46" t="s">
        <v>2186</v>
      </c>
      <c r="G422" s="40"/>
      <c r="H422" s="9" t="s">
        <v>150</v>
      </c>
      <c r="I422" s="41" t="s">
        <v>169</v>
      </c>
      <c r="J422" s="41" t="s">
        <v>169</v>
      </c>
      <c r="K422" s="40" t="s">
        <v>5</v>
      </c>
      <c r="L422" s="41" t="s">
        <v>2043</v>
      </c>
      <c r="M422" s="7" t="s">
        <v>2653</v>
      </c>
      <c r="N422" s="19"/>
      <c r="O422" s="19"/>
      <c r="P422" s="19"/>
      <c r="Q422" s="19"/>
      <c r="R422" s="19"/>
      <c r="S422" s="19"/>
      <c r="T422" s="19"/>
      <c r="U422" s="19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  <c r="AQ422" s="42"/>
      <c r="AR422" s="42" t="s">
        <v>160</v>
      </c>
      <c r="AS422" s="42" t="s">
        <v>160</v>
      </c>
      <c r="AT422" s="19"/>
      <c r="AU422" s="19"/>
      <c r="AV422" s="19"/>
      <c r="AW422" s="19"/>
      <c r="AX422" s="19"/>
      <c r="AY422" s="19"/>
      <c r="AZ422" s="42"/>
      <c r="BA422" s="42"/>
      <c r="BB422" s="42"/>
      <c r="BC422" s="42"/>
      <c r="BD422" s="42"/>
      <c r="BE422" s="42"/>
    </row>
    <row r="423" spans="1:57" x14ac:dyDescent="0.25">
      <c r="A423" s="114" t="s">
        <v>2773</v>
      </c>
      <c r="B423" s="110" t="s">
        <v>2967</v>
      </c>
      <c r="C423" s="115" t="s">
        <v>2290</v>
      </c>
      <c r="D423" s="153" t="s">
        <v>46</v>
      </c>
      <c r="E423" s="120">
        <f>58+36/60</f>
        <v>58.6</v>
      </c>
      <c r="F423" s="120">
        <f>17+18/60+36/3600</f>
        <v>17.310000000000002</v>
      </c>
      <c r="G423" s="93"/>
      <c r="H423" s="94" t="s">
        <v>150</v>
      </c>
      <c r="I423" s="102" t="s">
        <v>169</v>
      </c>
      <c r="J423" s="102" t="s">
        <v>169</v>
      </c>
      <c r="K423" s="102" t="s">
        <v>5</v>
      </c>
      <c r="L423" s="102" t="s">
        <v>2043</v>
      </c>
      <c r="M423" s="105" t="s">
        <v>2653</v>
      </c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  <c r="AE423" s="108"/>
      <c r="AF423" s="108"/>
      <c r="AG423" s="108"/>
      <c r="AH423" s="108"/>
      <c r="AI423" s="108"/>
      <c r="AJ423" s="108"/>
      <c r="AK423" s="108"/>
      <c r="AL423" s="108"/>
      <c r="AM423" s="108"/>
      <c r="AN423" s="108"/>
      <c r="AO423" s="108"/>
      <c r="AP423" s="108"/>
      <c r="AQ423" s="108"/>
      <c r="AR423" s="108" t="s">
        <v>160</v>
      </c>
      <c r="AS423" s="108" t="s">
        <v>160</v>
      </c>
      <c r="AT423" s="108"/>
      <c r="AU423" s="108"/>
      <c r="AV423" s="108"/>
      <c r="AW423" s="108"/>
      <c r="AX423" s="108"/>
      <c r="AY423" s="108"/>
      <c r="AZ423" s="108"/>
      <c r="BA423" s="108"/>
      <c r="BB423" s="108"/>
      <c r="BC423" s="108"/>
      <c r="BD423" s="108"/>
      <c r="BE423" s="108"/>
    </row>
    <row r="424" spans="1:57" x14ac:dyDescent="0.25">
      <c r="A424" s="6" t="s">
        <v>8</v>
      </c>
      <c r="B424" s="23">
        <v>35165</v>
      </c>
      <c r="C424" s="39" t="s">
        <v>2290</v>
      </c>
      <c r="D424" s="24" t="s">
        <v>809</v>
      </c>
      <c r="E424" s="35">
        <f>58+36/60</f>
        <v>58.6</v>
      </c>
      <c r="F424" s="35">
        <f>17+18/60+36/3600</f>
        <v>17.310000000000002</v>
      </c>
      <c r="G424" s="5"/>
      <c r="H424" s="9" t="s">
        <v>150</v>
      </c>
      <c r="I424" s="24" t="s">
        <v>169</v>
      </c>
      <c r="J424" s="24" t="s">
        <v>169</v>
      </c>
      <c r="K424" s="24" t="s">
        <v>5</v>
      </c>
      <c r="L424" s="24" t="s">
        <v>2043</v>
      </c>
      <c r="M424" s="7" t="s">
        <v>2653</v>
      </c>
      <c r="AR424" s="19" t="s">
        <v>160</v>
      </c>
      <c r="AS424" s="19" t="s">
        <v>160</v>
      </c>
      <c r="BB424" s="19"/>
      <c r="BC424" s="19"/>
      <c r="BD424" s="19"/>
      <c r="BE424" s="19"/>
    </row>
    <row r="425" spans="1:57" x14ac:dyDescent="0.25">
      <c r="A425" s="9" t="s">
        <v>706</v>
      </c>
      <c r="B425" s="38">
        <v>4</v>
      </c>
      <c r="C425" s="39" t="s">
        <v>2290</v>
      </c>
      <c r="D425" s="62" t="s">
        <v>46</v>
      </c>
      <c r="E425" s="3">
        <f>58+36/60+14/3600</f>
        <v>58.603888888888889</v>
      </c>
      <c r="F425" s="3">
        <f>17+18/60+57/3600</f>
        <v>17.315833333333334</v>
      </c>
      <c r="G425" s="5"/>
      <c r="H425" s="9" t="s">
        <v>150</v>
      </c>
      <c r="I425" s="7" t="s">
        <v>169</v>
      </c>
      <c r="J425" s="7" t="s">
        <v>169</v>
      </c>
      <c r="K425" s="9" t="s">
        <v>5</v>
      </c>
      <c r="L425" s="7" t="s">
        <v>2043</v>
      </c>
      <c r="M425" s="7" t="s">
        <v>2653</v>
      </c>
      <c r="AR425" s="19" t="s">
        <v>160</v>
      </c>
      <c r="AS425" s="19" t="s">
        <v>160</v>
      </c>
      <c r="BB425" s="19"/>
      <c r="BC425" s="19"/>
      <c r="BD425" s="19"/>
      <c r="BE425" s="19"/>
    </row>
    <row r="426" spans="1:57" x14ac:dyDescent="0.25">
      <c r="A426" s="9" t="s">
        <v>8</v>
      </c>
      <c r="B426" s="26">
        <v>33024</v>
      </c>
      <c r="C426" s="24" t="s">
        <v>999</v>
      </c>
      <c r="D426" t="s">
        <v>999</v>
      </c>
      <c r="E426" s="25">
        <f>58+18/60+9/3600</f>
        <v>58.302499999999995</v>
      </c>
      <c r="F426" s="25">
        <f>11+45/60+12/3600</f>
        <v>11.753333333333334</v>
      </c>
      <c r="G426" s="55"/>
      <c r="H426" s="9" t="s">
        <v>150</v>
      </c>
      <c r="I426" s="10" t="s">
        <v>8</v>
      </c>
      <c r="J426" s="24" t="s">
        <v>8</v>
      </c>
      <c r="K426" s="9" t="s">
        <v>951</v>
      </c>
      <c r="L426" s="7" t="s">
        <v>2683</v>
      </c>
      <c r="M426" s="7" t="s">
        <v>717</v>
      </c>
      <c r="N426" s="42" t="s">
        <v>1577</v>
      </c>
      <c r="O426" s="22"/>
      <c r="P426" s="42"/>
      <c r="U426" s="42"/>
      <c r="X426" s="19" t="s">
        <v>160</v>
      </c>
      <c r="Z426" s="19" t="s">
        <v>160</v>
      </c>
      <c r="AB426" s="19" t="s">
        <v>160</v>
      </c>
      <c r="AD426" s="19" t="s">
        <v>160</v>
      </c>
      <c r="AJ426" s="19" t="s">
        <v>160</v>
      </c>
      <c r="AL426" s="19" t="s">
        <v>160</v>
      </c>
      <c r="AR426" s="19" t="s">
        <v>160</v>
      </c>
      <c r="AT426" s="19" t="s">
        <v>160</v>
      </c>
      <c r="AV426" s="19" t="s">
        <v>160</v>
      </c>
      <c r="BB426" s="19"/>
      <c r="BC426" s="19"/>
      <c r="BD426" s="19"/>
      <c r="BE426" s="19"/>
    </row>
    <row r="427" spans="1:57" x14ac:dyDescent="0.25">
      <c r="A427" s="9" t="s">
        <v>8</v>
      </c>
      <c r="B427" s="26">
        <v>33044</v>
      </c>
      <c r="C427" s="24" t="s">
        <v>1015</v>
      </c>
      <c r="D427" s="24" t="s">
        <v>1016</v>
      </c>
      <c r="E427" s="25">
        <f>58+18/60+9/3600</f>
        <v>58.302499999999995</v>
      </c>
      <c r="F427" s="25">
        <f>11+45/60+12/3600</f>
        <v>11.753333333333334</v>
      </c>
      <c r="G427" s="55"/>
      <c r="H427" s="9" t="s">
        <v>150</v>
      </c>
      <c r="I427" s="10" t="s">
        <v>8</v>
      </c>
      <c r="J427" s="24" t="s">
        <v>8</v>
      </c>
      <c r="K427" s="9" t="s">
        <v>951</v>
      </c>
      <c r="L427" s="7" t="s">
        <v>2033</v>
      </c>
      <c r="M427" s="7" t="s">
        <v>717</v>
      </c>
      <c r="N427" s="42" t="s">
        <v>2589</v>
      </c>
      <c r="O427" s="22"/>
      <c r="P427" s="42"/>
      <c r="S427" s="19" t="s">
        <v>160</v>
      </c>
      <c r="T427" s="19" t="s">
        <v>160</v>
      </c>
      <c r="U427" s="42"/>
      <c r="X427" s="19" t="s">
        <v>160</v>
      </c>
      <c r="Z427" s="19" t="s">
        <v>160</v>
      </c>
      <c r="AB427" s="19" t="s">
        <v>160</v>
      </c>
      <c r="BB427" s="19"/>
      <c r="BC427" s="19"/>
      <c r="BD427" s="19"/>
      <c r="BE427" s="19"/>
    </row>
    <row r="428" spans="1:57" x14ac:dyDescent="0.25">
      <c r="A428" s="9" t="s">
        <v>707</v>
      </c>
      <c r="B428" s="137" t="s">
        <v>299</v>
      </c>
      <c r="C428" s="23" t="s">
        <v>771</v>
      </c>
      <c r="D428" s="40" t="s">
        <v>300</v>
      </c>
      <c r="E428" s="46" t="s">
        <v>302</v>
      </c>
      <c r="F428" s="46" t="s">
        <v>301</v>
      </c>
      <c r="G428" s="40"/>
      <c r="H428" s="9" t="s">
        <v>150</v>
      </c>
      <c r="I428" s="41" t="s">
        <v>169</v>
      </c>
      <c r="J428" s="41" t="s">
        <v>169</v>
      </c>
      <c r="K428" s="40" t="s">
        <v>6</v>
      </c>
      <c r="L428" s="41" t="s">
        <v>2031</v>
      </c>
      <c r="M428" s="7" t="s">
        <v>2653</v>
      </c>
      <c r="N428" s="19" t="s">
        <v>1108</v>
      </c>
      <c r="O428" s="42" t="s">
        <v>160</v>
      </c>
      <c r="P428" s="42" t="s">
        <v>160</v>
      </c>
      <c r="Q428" s="44" t="s">
        <v>1147</v>
      </c>
      <c r="S428" s="19" t="s">
        <v>160</v>
      </c>
      <c r="T428" s="19" t="s">
        <v>160</v>
      </c>
      <c r="U428" s="19">
        <v>2</v>
      </c>
      <c r="V428" s="42" t="s">
        <v>160</v>
      </c>
      <c r="W428" s="42" t="s">
        <v>160</v>
      </c>
      <c r="X428" s="42" t="s">
        <v>160</v>
      </c>
      <c r="Y428" s="42" t="s">
        <v>160</v>
      </c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  <c r="AQ428" s="42"/>
      <c r="AR428" s="42"/>
      <c r="AS428" s="42"/>
      <c r="AZ428" s="42"/>
      <c r="BA428" s="42"/>
      <c r="BB428" s="42"/>
      <c r="BC428" s="42"/>
      <c r="BD428" s="42"/>
      <c r="BE428" s="42"/>
    </row>
    <row r="429" spans="1:57" x14ac:dyDescent="0.25">
      <c r="A429" s="9" t="s">
        <v>707</v>
      </c>
      <c r="B429" s="39" t="s">
        <v>297</v>
      </c>
      <c r="C429" s="39" t="s">
        <v>771</v>
      </c>
      <c r="D429" s="40" t="s">
        <v>298</v>
      </c>
      <c r="E429" s="46" t="s">
        <v>2105</v>
      </c>
      <c r="F429" s="46" t="s">
        <v>2106</v>
      </c>
      <c r="G429" s="40"/>
      <c r="H429" s="9" t="s">
        <v>150</v>
      </c>
      <c r="I429" s="41" t="s">
        <v>169</v>
      </c>
      <c r="J429" s="41" t="s">
        <v>169</v>
      </c>
      <c r="K429" s="40" t="s">
        <v>5</v>
      </c>
      <c r="L429" s="41" t="s">
        <v>2043</v>
      </c>
      <c r="M429" s="7" t="s">
        <v>2653</v>
      </c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  <c r="AQ429" s="42"/>
      <c r="AR429" s="42" t="s">
        <v>160</v>
      </c>
      <c r="AS429" s="42" t="s">
        <v>160</v>
      </c>
      <c r="AZ429" s="42"/>
      <c r="BA429" s="42"/>
      <c r="BB429" s="42"/>
      <c r="BC429" s="42"/>
      <c r="BD429" s="42"/>
      <c r="BE429" s="42"/>
    </row>
    <row r="430" spans="1:57" x14ac:dyDescent="0.25">
      <c r="A430" s="53" t="s">
        <v>2763</v>
      </c>
      <c r="B430" s="143">
        <v>35110</v>
      </c>
      <c r="C430" s="85" t="s">
        <v>771</v>
      </c>
      <c r="D430" s="85" t="s">
        <v>771</v>
      </c>
      <c r="E430" s="35">
        <v>56.044646999999998</v>
      </c>
      <c r="F430" s="35">
        <v>12.687313</v>
      </c>
      <c r="G430" s="85">
        <v>1.82</v>
      </c>
      <c r="H430" s="9" t="s">
        <v>150</v>
      </c>
      <c r="I430" s="14" t="s">
        <v>169</v>
      </c>
      <c r="J430" s="85" t="s">
        <v>169</v>
      </c>
      <c r="K430" s="7" t="s">
        <v>6</v>
      </c>
      <c r="L430" s="7" t="s">
        <v>2031</v>
      </c>
      <c r="M430" s="7" t="s">
        <v>2653</v>
      </c>
      <c r="N430" s="19" t="s">
        <v>1108</v>
      </c>
      <c r="O430" s="42" t="s">
        <v>160</v>
      </c>
      <c r="P430" s="42" t="s">
        <v>160</v>
      </c>
      <c r="Q430" s="44" t="s">
        <v>1147</v>
      </c>
      <c r="S430" s="19" t="s">
        <v>160</v>
      </c>
      <c r="T430" s="19" t="s">
        <v>160</v>
      </c>
      <c r="U430" s="42">
        <v>2</v>
      </c>
      <c r="V430" s="20" t="s">
        <v>160</v>
      </c>
      <c r="W430" s="20" t="s">
        <v>160</v>
      </c>
      <c r="X430" s="20" t="s">
        <v>160</v>
      </c>
      <c r="Y430" s="20" t="s">
        <v>160</v>
      </c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85"/>
      <c r="BC430" s="85"/>
      <c r="BD430" s="85"/>
      <c r="BE430" s="85"/>
    </row>
    <row r="431" spans="1:57" s="94" customFormat="1" x14ac:dyDescent="0.25">
      <c r="A431" s="105" t="s">
        <v>2773</v>
      </c>
      <c r="B431" s="139" t="s">
        <v>2792</v>
      </c>
      <c r="C431" s="110" t="s">
        <v>771</v>
      </c>
      <c r="D431" s="153" t="s">
        <v>39</v>
      </c>
      <c r="E431" s="84">
        <f>56+2/60+40.7364/3600</f>
        <v>56.044649</v>
      </c>
      <c r="F431" s="84">
        <f>12+41/60+14.3484/3600</f>
        <v>12.687319</v>
      </c>
      <c r="G431" s="178">
        <v>1.82</v>
      </c>
      <c r="H431" s="105" t="s">
        <v>150</v>
      </c>
      <c r="I431" s="105" t="s">
        <v>169</v>
      </c>
      <c r="J431" s="105" t="s">
        <v>169</v>
      </c>
      <c r="K431" s="105" t="s">
        <v>40</v>
      </c>
      <c r="L431" s="105" t="s">
        <v>2055</v>
      </c>
      <c r="M431" s="105" t="s">
        <v>2653</v>
      </c>
      <c r="N431" s="108" t="s">
        <v>1108</v>
      </c>
      <c r="O431" s="106" t="s">
        <v>160</v>
      </c>
      <c r="P431" s="106" t="s">
        <v>160</v>
      </c>
      <c r="Q431" s="107" t="s">
        <v>1147</v>
      </c>
      <c r="R431" s="108"/>
      <c r="S431" s="108" t="s">
        <v>160</v>
      </c>
      <c r="T431" s="108" t="s">
        <v>160</v>
      </c>
      <c r="U431" s="106">
        <v>2</v>
      </c>
      <c r="V431" s="103" t="s">
        <v>160</v>
      </c>
      <c r="W431" s="103" t="s">
        <v>160</v>
      </c>
      <c r="X431" s="103" t="s">
        <v>160</v>
      </c>
      <c r="Y431" s="103" t="s">
        <v>160</v>
      </c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 t="s">
        <v>160</v>
      </c>
      <c r="AS431" s="103" t="s">
        <v>160</v>
      </c>
      <c r="AT431" s="103"/>
      <c r="AU431" s="103"/>
      <c r="AV431" s="103"/>
      <c r="AW431" s="103"/>
      <c r="AX431" s="103"/>
      <c r="AY431" s="103"/>
      <c r="AZ431" s="103" t="s">
        <v>160</v>
      </c>
      <c r="BA431" s="103" t="s">
        <v>160</v>
      </c>
      <c r="BB431" s="103"/>
      <c r="BC431" s="103"/>
      <c r="BD431" s="103"/>
      <c r="BE431" s="103"/>
    </row>
    <row r="432" spans="1:57" x14ac:dyDescent="0.25">
      <c r="A432" s="7" t="s">
        <v>8</v>
      </c>
      <c r="B432" s="142" t="s">
        <v>2885</v>
      </c>
      <c r="C432" s="23" t="s">
        <v>771</v>
      </c>
      <c r="D432" s="24" t="s">
        <v>771</v>
      </c>
      <c r="E432" s="193">
        <v>56.041200000000003</v>
      </c>
      <c r="F432" s="193">
        <v>12.6845</v>
      </c>
      <c r="G432" s="43"/>
      <c r="H432" s="7" t="s">
        <v>150</v>
      </c>
      <c r="I432" s="7" t="s">
        <v>169</v>
      </c>
      <c r="J432" s="7" t="s">
        <v>169</v>
      </c>
      <c r="K432" s="7" t="s">
        <v>40</v>
      </c>
      <c r="L432" s="7" t="s">
        <v>2055</v>
      </c>
      <c r="M432" s="7" t="s">
        <v>2653</v>
      </c>
      <c r="N432" s="19" t="s">
        <v>1108</v>
      </c>
      <c r="O432" s="42" t="s">
        <v>160</v>
      </c>
      <c r="P432" s="42" t="s">
        <v>160</v>
      </c>
      <c r="Q432" s="44" t="s">
        <v>1147</v>
      </c>
      <c r="S432" s="19" t="s">
        <v>160</v>
      </c>
      <c r="T432" s="19" t="s">
        <v>160</v>
      </c>
      <c r="U432" s="42">
        <v>2</v>
      </c>
      <c r="V432" s="20" t="s">
        <v>160</v>
      </c>
      <c r="W432" s="20" t="s">
        <v>160</v>
      </c>
      <c r="X432" s="20" t="s">
        <v>160</v>
      </c>
      <c r="Y432" s="20" t="s">
        <v>160</v>
      </c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 t="s">
        <v>160</v>
      </c>
      <c r="AS432" s="20" t="s">
        <v>160</v>
      </c>
      <c r="AT432" s="20"/>
      <c r="AU432" s="20"/>
      <c r="AV432" s="20"/>
      <c r="AW432" s="20"/>
      <c r="AX432" s="20"/>
      <c r="AY432" s="20"/>
      <c r="AZ432" s="20" t="s">
        <v>160</v>
      </c>
      <c r="BA432" s="20" t="s">
        <v>160</v>
      </c>
      <c r="BB432" s="20"/>
      <c r="BC432" s="20"/>
      <c r="BD432" s="20"/>
      <c r="BE432" s="20"/>
    </row>
    <row r="433" spans="1:57" x14ac:dyDescent="0.25">
      <c r="A433" s="9" t="s">
        <v>706</v>
      </c>
      <c r="B433" s="140">
        <v>45</v>
      </c>
      <c r="C433" s="23" t="s">
        <v>771</v>
      </c>
      <c r="D433" s="62" t="s">
        <v>39</v>
      </c>
      <c r="E433" s="3">
        <f>56+2/60+28/3600</f>
        <v>56.041111111111107</v>
      </c>
      <c r="F433" s="3">
        <f>12+41/60+4/3600</f>
        <v>12.684444444444445</v>
      </c>
      <c r="G433" s="43"/>
      <c r="H433" s="9" t="s">
        <v>150</v>
      </c>
      <c r="I433" s="7" t="s">
        <v>169</v>
      </c>
      <c r="J433" s="7" t="s">
        <v>169</v>
      </c>
      <c r="K433" s="9" t="s">
        <v>40</v>
      </c>
      <c r="L433" s="7" t="s">
        <v>2055</v>
      </c>
      <c r="M433" s="7" t="s">
        <v>2653</v>
      </c>
      <c r="N433" s="19" t="s">
        <v>1108</v>
      </c>
      <c r="O433" s="42" t="s">
        <v>160</v>
      </c>
      <c r="P433" s="42" t="s">
        <v>160</v>
      </c>
      <c r="Q433" s="44" t="s">
        <v>1147</v>
      </c>
      <c r="S433" s="19" t="s">
        <v>160</v>
      </c>
      <c r="T433" s="19" t="s">
        <v>160</v>
      </c>
      <c r="U433" s="19">
        <v>2</v>
      </c>
      <c r="V433" s="19" t="s">
        <v>160</v>
      </c>
      <c r="W433" s="19" t="s">
        <v>160</v>
      </c>
      <c r="X433" s="19" t="s">
        <v>160</v>
      </c>
      <c r="Y433" s="19" t="s">
        <v>160</v>
      </c>
      <c r="AR433" s="19" t="s">
        <v>160</v>
      </c>
      <c r="AS433" s="19" t="s">
        <v>160</v>
      </c>
      <c r="BB433" s="19"/>
      <c r="BC433" s="19"/>
      <c r="BD433" s="19"/>
      <c r="BE433" s="19"/>
    </row>
    <row r="434" spans="1:57" x14ac:dyDescent="0.25">
      <c r="A434" s="9" t="s">
        <v>8</v>
      </c>
      <c r="B434" s="27">
        <v>37311</v>
      </c>
      <c r="C434" s="28" t="s">
        <v>1923</v>
      </c>
      <c r="D434" s="28" t="s">
        <v>771</v>
      </c>
      <c r="E434" s="25">
        <v>56</v>
      </c>
      <c r="F434" s="25">
        <v>12.666700000000001</v>
      </c>
      <c r="H434" s="9" t="s">
        <v>150</v>
      </c>
      <c r="I434" s="6" t="s">
        <v>8</v>
      </c>
      <c r="J434" s="21" t="s">
        <v>8</v>
      </c>
      <c r="K434" s="6" t="s">
        <v>2455</v>
      </c>
      <c r="L434" s="7" t="s">
        <v>2027</v>
      </c>
      <c r="M434" s="28" t="s">
        <v>717</v>
      </c>
      <c r="N434" s="19" t="s">
        <v>1862</v>
      </c>
      <c r="O434" s="22"/>
      <c r="T434" s="7"/>
      <c r="X434" s="19" t="s">
        <v>160</v>
      </c>
      <c r="BA434" s="7"/>
      <c r="BB434" s="7"/>
      <c r="BC434" s="7"/>
      <c r="BD434" s="7"/>
      <c r="BE434" s="7"/>
    </row>
    <row r="435" spans="1:57" x14ac:dyDescent="0.25">
      <c r="A435" s="6" t="s">
        <v>8</v>
      </c>
      <c r="B435" s="9">
        <v>62030</v>
      </c>
      <c r="C435" s="9" t="s">
        <v>2253</v>
      </c>
      <c r="D435" s="9" t="s">
        <v>771</v>
      </c>
      <c r="E435" s="3">
        <v>56.043100000000003</v>
      </c>
      <c r="F435" s="3">
        <v>12.6906</v>
      </c>
      <c r="G435" s="9">
        <v>5</v>
      </c>
      <c r="H435" s="9" t="s">
        <v>150</v>
      </c>
      <c r="I435" s="6" t="s">
        <v>8</v>
      </c>
      <c r="J435" s="21" t="s">
        <v>8</v>
      </c>
      <c r="K435" s="3" t="s">
        <v>5</v>
      </c>
      <c r="L435" s="5" t="s">
        <v>2680</v>
      </c>
      <c r="M435" s="7" t="s">
        <v>717</v>
      </c>
      <c r="N435" s="19" t="s">
        <v>2483</v>
      </c>
      <c r="O435" s="22"/>
      <c r="P435" s="19" t="s">
        <v>160</v>
      </c>
      <c r="AR435" s="19" t="s">
        <v>160</v>
      </c>
      <c r="AT435" s="19" t="s">
        <v>160</v>
      </c>
      <c r="AV435" s="19" t="s">
        <v>160</v>
      </c>
      <c r="AX435" s="19" t="s">
        <v>160</v>
      </c>
      <c r="AZ435" s="19" t="s">
        <v>160</v>
      </c>
      <c r="BB435" s="19"/>
      <c r="BC435" s="19"/>
      <c r="BD435" s="19"/>
      <c r="BE435" s="19"/>
    </row>
    <row r="436" spans="1:57" x14ac:dyDescent="0.25">
      <c r="A436" s="6" t="s">
        <v>8</v>
      </c>
      <c r="B436" s="9">
        <v>62040</v>
      </c>
      <c r="C436" s="9" t="s">
        <v>1411</v>
      </c>
      <c r="D436" s="9" t="s">
        <v>1412</v>
      </c>
      <c r="E436" s="3">
        <v>56.0304</v>
      </c>
      <c r="F436" s="3">
        <v>12.7653</v>
      </c>
      <c r="G436" s="9">
        <v>43</v>
      </c>
      <c r="H436" s="9"/>
      <c r="I436" s="21" t="s">
        <v>8</v>
      </c>
      <c r="J436" s="21" t="s">
        <v>8</v>
      </c>
      <c r="K436" s="3" t="s">
        <v>5</v>
      </c>
      <c r="L436" s="5" t="s">
        <v>2680</v>
      </c>
      <c r="M436" s="7" t="s">
        <v>2653</v>
      </c>
      <c r="N436" s="19" t="s">
        <v>2303</v>
      </c>
      <c r="O436" s="22"/>
      <c r="P436" s="19" t="s">
        <v>160</v>
      </c>
      <c r="AR436" s="19" t="s">
        <v>160</v>
      </c>
      <c r="AS436" s="19" t="s">
        <v>160</v>
      </c>
      <c r="AT436" s="19" t="s">
        <v>160</v>
      </c>
      <c r="AU436" s="19" t="s">
        <v>160</v>
      </c>
      <c r="AV436" s="19" t="s">
        <v>160</v>
      </c>
      <c r="AW436" s="19" t="s">
        <v>160</v>
      </c>
      <c r="AX436" s="19" t="s">
        <v>160</v>
      </c>
      <c r="AY436" s="19" t="s">
        <v>160</v>
      </c>
      <c r="AZ436" s="19" t="s">
        <v>160</v>
      </c>
      <c r="BA436" s="19" t="s">
        <v>160</v>
      </c>
      <c r="BB436" s="19"/>
      <c r="BC436" s="19"/>
      <c r="BD436" s="19"/>
      <c r="BE436" s="19"/>
    </row>
    <row r="437" spans="1:57" s="94" customFormat="1" x14ac:dyDescent="0.25">
      <c r="A437" s="9" t="s">
        <v>707</v>
      </c>
      <c r="B437" s="39" t="s">
        <v>307</v>
      </c>
      <c r="C437" s="38" t="s">
        <v>898</v>
      </c>
      <c r="D437" s="40" t="s">
        <v>308</v>
      </c>
      <c r="E437" s="46" t="s">
        <v>310</v>
      </c>
      <c r="F437" s="46" t="s">
        <v>309</v>
      </c>
      <c r="G437" s="40"/>
      <c r="H437" s="9" t="s">
        <v>150</v>
      </c>
      <c r="I437" s="41" t="s">
        <v>296</v>
      </c>
      <c r="J437" s="7" t="s">
        <v>169</v>
      </c>
      <c r="K437" s="40" t="s">
        <v>951</v>
      </c>
      <c r="L437" s="41" t="s">
        <v>2048</v>
      </c>
      <c r="M437" s="7" t="s">
        <v>2653</v>
      </c>
      <c r="N437" s="19"/>
      <c r="O437" s="42" t="s">
        <v>160</v>
      </c>
      <c r="P437" s="42" t="s">
        <v>160</v>
      </c>
      <c r="Q437" s="19"/>
      <c r="R437" s="19"/>
      <c r="S437" s="19"/>
      <c r="T437" s="19"/>
      <c r="U437" s="19"/>
      <c r="V437" s="42"/>
      <c r="W437" s="42"/>
      <c r="X437" s="42" t="s">
        <v>160</v>
      </c>
      <c r="Y437" s="42" t="s">
        <v>160</v>
      </c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 t="s">
        <v>160</v>
      </c>
      <c r="AM437" s="42" t="s">
        <v>160</v>
      </c>
      <c r="AN437" s="42"/>
      <c r="AO437" s="42"/>
      <c r="AP437" s="42"/>
      <c r="AQ437" s="42"/>
      <c r="AR437" s="42"/>
      <c r="AS437" s="42"/>
      <c r="AT437" s="19"/>
      <c r="AU437" s="19"/>
      <c r="AV437" s="19"/>
      <c r="AW437" s="19"/>
      <c r="AX437" s="19"/>
      <c r="AY437" s="19"/>
      <c r="AZ437" s="42"/>
      <c r="BA437" s="42"/>
      <c r="BB437" s="42"/>
      <c r="BC437" s="42"/>
      <c r="BD437" s="42"/>
      <c r="BE437" s="42"/>
    </row>
    <row r="438" spans="1:57" x14ac:dyDescent="0.25">
      <c r="A438" s="114" t="s">
        <v>2773</v>
      </c>
      <c r="B438" s="94" t="s">
        <v>2968</v>
      </c>
      <c r="C438" s="109" t="s">
        <v>898</v>
      </c>
      <c r="D438" s="94" t="s">
        <v>2706</v>
      </c>
      <c r="E438" s="120">
        <f>56+1/60+12/3600</f>
        <v>56.019999999999996</v>
      </c>
      <c r="F438" s="120">
        <f>12+41/60+13/3600</f>
        <v>12.686944444444444</v>
      </c>
      <c r="G438" s="94"/>
      <c r="H438" s="94" t="s">
        <v>150</v>
      </c>
      <c r="I438" s="113" t="s">
        <v>296</v>
      </c>
      <c r="J438" s="114" t="s">
        <v>169</v>
      </c>
      <c r="K438" s="82" t="s">
        <v>951</v>
      </c>
      <c r="L438" s="94" t="s">
        <v>2048</v>
      </c>
      <c r="M438" s="94" t="s">
        <v>2653</v>
      </c>
      <c r="N438" s="130"/>
      <c r="O438" s="130" t="s">
        <v>160</v>
      </c>
      <c r="P438" s="130" t="s">
        <v>160</v>
      </c>
      <c r="Q438" s="130"/>
      <c r="R438" s="130"/>
      <c r="S438" s="130"/>
      <c r="T438" s="130"/>
      <c r="U438" s="130"/>
      <c r="V438" s="130"/>
      <c r="W438" s="130"/>
      <c r="X438" s="130" t="s">
        <v>160</v>
      </c>
      <c r="Y438" s="130" t="s">
        <v>160</v>
      </c>
      <c r="Z438" s="130"/>
      <c r="AA438" s="130"/>
      <c r="AB438" s="130"/>
      <c r="AC438" s="130"/>
      <c r="AD438" s="130"/>
      <c r="AE438" s="130"/>
      <c r="AF438" s="130"/>
      <c r="AG438" s="130"/>
      <c r="AH438" s="130"/>
      <c r="AI438" s="130"/>
      <c r="AJ438" s="130"/>
      <c r="AK438" s="130"/>
      <c r="AL438" s="130" t="s">
        <v>160</v>
      </c>
      <c r="AM438" s="130" t="s">
        <v>160</v>
      </c>
      <c r="AN438" s="130"/>
      <c r="AO438" s="130"/>
      <c r="AP438" s="130"/>
      <c r="AQ438" s="130"/>
      <c r="AR438" s="130"/>
      <c r="AS438" s="130"/>
      <c r="AT438" s="130"/>
      <c r="AU438" s="130"/>
      <c r="AV438" s="130"/>
      <c r="AW438" s="130"/>
      <c r="AX438" s="130"/>
      <c r="AY438" s="130"/>
      <c r="AZ438" s="130"/>
      <c r="BA438" s="130"/>
      <c r="BB438" s="130"/>
      <c r="BC438" s="130"/>
      <c r="BD438" s="130"/>
      <c r="BE438" s="130"/>
    </row>
    <row r="439" spans="1:57" x14ac:dyDescent="0.25">
      <c r="A439" s="6" t="s">
        <v>8</v>
      </c>
      <c r="B439" s="33" t="s">
        <v>875</v>
      </c>
      <c r="C439" s="38" t="s">
        <v>898</v>
      </c>
      <c r="D439" s="9" t="s">
        <v>2706</v>
      </c>
      <c r="E439" s="35">
        <f>56+1/60+12/3600</f>
        <v>56.019999999999996</v>
      </c>
      <c r="F439" s="35">
        <f>12+41/60+13/3600</f>
        <v>12.686944444444444</v>
      </c>
      <c r="G439" s="9"/>
      <c r="H439" s="9" t="s">
        <v>150</v>
      </c>
      <c r="I439" s="41" t="s">
        <v>296</v>
      </c>
      <c r="J439" s="6" t="s">
        <v>169</v>
      </c>
      <c r="K439" s="3" t="s">
        <v>951</v>
      </c>
      <c r="L439" s="9" t="s">
        <v>2048</v>
      </c>
      <c r="M439" s="9" t="s">
        <v>2653</v>
      </c>
      <c r="N439" s="4"/>
      <c r="O439" s="4" t="s">
        <v>160</v>
      </c>
      <c r="P439" s="4" t="s">
        <v>160</v>
      </c>
      <c r="Q439" s="4"/>
      <c r="R439" s="4"/>
      <c r="S439" s="4"/>
      <c r="T439" s="4"/>
      <c r="U439" s="4"/>
      <c r="V439" s="4"/>
      <c r="W439" s="4"/>
      <c r="X439" s="4" t="s">
        <v>160</v>
      </c>
      <c r="Y439" s="4" t="s">
        <v>160</v>
      </c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 t="s">
        <v>160</v>
      </c>
      <c r="AM439" s="4" t="s">
        <v>160</v>
      </c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</row>
    <row r="440" spans="1:57" x14ac:dyDescent="0.25">
      <c r="A440" s="9" t="s">
        <v>706</v>
      </c>
      <c r="B440" s="38">
        <v>167</v>
      </c>
      <c r="C440" s="38" t="s">
        <v>898</v>
      </c>
      <c r="D440" s="88" t="s">
        <v>2737</v>
      </c>
      <c r="E440" s="3">
        <f>56+1/60+12/3600</f>
        <v>56.019999999999996</v>
      </c>
      <c r="F440" s="3">
        <f>12+41/60+13/3600</f>
        <v>12.686944444444444</v>
      </c>
      <c r="G440" s="40"/>
      <c r="H440" s="9" t="s">
        <v>150</v>
      </c>
      <c r="I440" s="7" t="s">
        <v>169</v>
      </c>
      <c r="J440" s="7" t="s">
        <v>169</v>
      </c>
      <c r="K440" s="9" t="s">
        <v>951</v>
      </c>
      <c r="L440" s="7" t="s">
        <v>2048</v>
      </c>
      <c r="M440" s="7" t="s">
        <v>2653</v>
      </c>
      <c r="O440" s="19" t="s">
        <v>160</v>
      </c>
      <c r="P440" s="19" t="s">
        <v>160</v>
      </c>
      <c r="X440" s="19" t="s">
        <v>160</v>
      </c>
      <c r="Y440" s="19" t="s">
        <v>160</v>
      </c>
      <c r="AL440" s="19" t="s">
        <v>160</v>
      </c>
      <c r="AM440" s="19" t="s">
        <v>160</v>
      </c>
      <c r="BB440" s="19"/>
      <c r="BC440" s="19"/>
      <c r="BD440" s="19"/>
      <c r="BE440" s="19"/>
    </row>
    <row r="441" spans="1:57" s="94" customFormat="1" x14ac:dyDescent="0.25">
      <c r="A441" s="9" t="s">
        <v>707</v>
      </c>
      <c r="B441" s="39" t="s">
        <v>292</v>
      </c>
      <c r="C441" s="70" t="s">
        <v>896</v>
      </c>
      <c r="D441" s="40" t="s">
        <v>293</v>
      </c>
      <c r="E441" s="46" t="s">
        <v>295</v>
      </c>
      <c r="F441" s="46" t="s">
        <v>294</v>
      </c>
      <c r="G441" s="40"/>
      <c r="H441" s="9" t="s">
        <v>150</v>
      </c>
      <c r="I441" s="41" t="s">
        <v>296</v>
      </c>
      <c r="J441" s="7" t="s">
        <v>169</v>
      </c>
      <c r="K441" s="40" t="s">
        <v>951</v>
      </c>
      <c r="L441" s="41" t="s">
        <v>2048</v>
      </c>
      <c r="M441" s="7" t="s">
        <v>2653</v>
      </c>
      <c r="N441" s="19"/>
      <c r="O441" s="42" t="s">
        <v>160</v>
      </c>
      <c r="P441" s="42" t="s">
        <v>160</v>
      </c>
      <c r="Q441" s="19"/>
      <c r="R441" s="19"/>
      <c r="S441" s="19"/>
      <c r="T441" s="19"/>
      <c r="U441" s="19"/>
      <c r="V441" s="42"/>
      <c r="W441" s="42"/>
      <c r="X441" s="42" t="s">
        <v>160</v>
      </c>
      <c r="Y441" s="42" t="s">
        <v>160</v>
      </c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 t="s">
        <v>160</v>
      </c>
      <c r="AM441" s="42" t="s">
        <v>160</v>
      </c>
      <c r="AN441" s="42"/>
      <c r="AO441" s="42"/>
      <c r="AP441" s="42"/>
      <c r="AQ441" s="42"/>
      <c r="AR441" s="42"/>
      <c r="AS441" s="42"/>
      <c r="AT441" s="19"/>
      <c r="AU441" s="19"/>
      <c r="AV441" s="19"/>
      <c r="AW441" s="19"/>
      <c r="AX441" s="19"/>
      <c r="AY441" s="19"/>
      <c r="AZ441" s="42"/>
      <c r="BA441" s="42"/>
      <c r="BB441" s="42"/>
      <c r="BC441" s="42"/>
      <c r="BD441" s="42"/>
      <c r="BE441" s="42"/>
    </row>
    <row r="442" spans="1:57" x14ac:dyDescent="0.25">
      <c r="A442" s="6" t="s">
        <v>8</v>
      </c>
      <c r="B442" s="23" t="s">
        <v>2887</v>
      </c>
      <c r="C442" s="70" t="s">
        <v>896</v>
      </c>
      <c r="D442" t="s">
        <v>805</v>
      </c>
      <c r="E442" s="5">
        <f>56+1/60+6.654/3600</f>
        <v>56.018515000000001</v>
      </c>
      <c r="F442" s="5">
        <f>12+41/60+50.1216/3600</f>
        <v>12.697255999999999</v>
      </c>
      <c r="G442" s="5"/>
      <c r="H442" s="9" t="s">
        <v>150</v>
      </c>
      <c r="I442" s="24" t="s">
        <v>169</v>
      </c>
      <c r="J442" s="7" t="s">
        <v>169</v>
      </c>
      <c r="K442" s="24" t="s">
        <v>951</v>
      </c>
      <c r="L442" s="41" t="s">
        <v>2048</v>
      </c>
      <c r="M442" s="7" t="s">
        <v>2653</v>
      </c>
      <c r="O442" s="42" t="s">
        <v>160</v>
      </c>
      <c r="P442" s="42" t="s">
        <v>160</v>
      </c>
      <c r="X442" s="19" t="s">
        <v>160</v>
      </c>
      <c r="Y442" s="19" t="s">
        <v>160</v>
      </c>
      <c r="AL442" s="19" t="s">
        <v>160</v>
      </c>
      <c r="AM442" s="19" t="s">
        <v>160</v>
      </c>
      <c r="BB442" s="19"/>
      <c r="BC442" s="19"/>
      <c r="BD442" s="19"/>
      <c r="BE442" s="19"/>
    </row>
    <row r="443" spans="1:57" x14ac:dyDescent="0.25">
      <c r="A443" s="6" t="s">
        <v>8</v>
      </c>
      <c r="B443" s="23">
        <v>35181</v>
      </c>
      <c r="C443" s="70" t="s">
        <v>896</v>
      </c>
      <c r="D443" s="70" t="s">
        <v>805</v>
      </c>
      <c r="E443" s="162">
        <v>56.018515000000001</v>
      </c>
      <c r="F443" s="162">
        <v>12.697255999999999</v>
      </c>
      <c r="G443" s="5"/>
      <c r="H443" s="9" t="s">
        <v>150</v>
      </c>
      <c r="I443" s="24" t="s">
        <v>169</v>
      </c>
      <c r="J443" s="7" t="s">
        <v>169</v>
      </c>
      <c r="K443" s="24" t="s">
        <v>951</v>
      </c>
      <c r="L443" s="41" t="s">
        <v>2048</v>
      </c>
      <c r="M443" s="7" t="s">
        <v>2653</v>
      </c>
      <c r="O443" s="42" t="s">
        <v>160</v>
      </c>
      <c r="P443" s="42" t="s">
        <v>160</v>
      </c>
      <c r="X443" s="19" t="s">
        <v>160</v>
      </c>
      <c r="Y443" s="19" t="s">
        <v>160</v>
      </c>
      <c r="AL443" s="19" t="s">
        <v>160</v>
      </c>
      <c r="AM443" s="19" t="s">
        <v>160</v>
      </c>
      <c r="BB443" s="19"/>
      <c r="BC443" s="19"/>
      <c r="BD443" s="19"/>
      <c r="BE443" s="19"/>
    </row>
    <row r="444" spans="1:57" x14ac:dyDescent="0.25">
      <c r="A444" s="9" t="s">
        <v>706</v>
      </c>
      <c r="B444" s="38">
        <v>129</v>
      </c>
      <c r="C444" s="70" t="s">
        <v>896</v>
      </c>
      <c r="D444" s="62" t="s">
        <v>2736</v>
      </c>
      <c r="E444" s="35">
        <v>56.018932999999997</v>
      </c>
      <c r="F444" s="35">
        <v>12.697067000000001</v>
      </c>
      <c r="H444" s="9" t="s">
        <v>150</v>
      </c>
      <c r="I444" s="7" t="s">
        <v>169</v>
      </c>
      <c r="J444" s="7" t="s">
        <v>169</v>
      </c>
      <c r="K444" s="9" t="s">
        <v>951</v>
      </c>
      <c r="L444" s="41" t="s">
        <v>2048</v>
      </c>
      <c r="M444" s="7" t="s">
        <v>2653</v>
      </c>
      <c r="O444" s="42" t="s">
        <v>160</v>
      </c>
      <c r="P444" s="42" t="s">
        <v>160</v>
      </c>
      <c r="X444" s="19" t="s">
        <v>160</v>
      </c>
      <c r="Y444" s="19" t="s">
        <v>160</v>
      </c>
      <c r="AL444" s="19" t="s">
        <v>160</v>
      </c>
      <c r="AM444" s="19" t="s">
        <v>160</v>
      </c>
      <c r="BB444" s="19"/>
      <c r="BC444" s="19"/>
      <c r="BD444" s="19"/>
      <c r="BE444" s="19"/>
    </row>
    <row r="445" spans="1:57" s="94" customFormat="1" x14ac:dyDescent="0.25">
      <c r="A445" s="9" t="s">
        <v>707</v>
      </c>
      <c r="B445" s="39" t="s">
        <v>303</v>
      </c>
      <c r="C445" s="70" t="s">
        <v>897</v>
      </c>
      <c r="D445" s="40" t="s">
        <v>304</v>
      </c>
      <c r="E445" s="46" t="s">
        <v>306</v>
      </c>
      <c r="F445" s="46" t="s">
        <v>305</v>
      </c>
      <c r="G445" s="40"/>
      <c r="H445" s="9" t="s">
        <v>150</v>
      </c>
      <c r="I445" s="41" t="s">
        <v>296</v>
      </c>
      <c r="J445" s="7" t="s">
        <v>169</v>
      </c>
      <c r="K445" s="40" t="s">
        <v>951</v>
      </c>
      <c r="L445" s="41" t="s">
        <v>2045</v>
      </c>
      <c r="M445" s="7" t="s">
        <v>2653</v>
      </c>
      <c r="N445" s="19"/>
      <c r="O445" s="19" t="s">
        <v>160</v>
      </c>
      <c r="P445" s="19" t="s">
        <v>160</v>
      </c>
      <c r="Q445" s="19"/>
      <c r="R445" s="19"/>
      <c r="S445" s="19"/>
      <c r="T445" s="19"/>
      <c r="U445" s="19"/>
      <c r="V445" s="42"/>
      <c r="W445" s="42"/>
      <c r="X445" s="42" t="s">
        <v>160</v>
      </c>
      <c r="Y445" s="42" t="s">
        <v>160</v>
      </c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 t="s">
        <v>160</v>
      </c>
      <c r="AM445" s="42" t="s">
        <v>160</v>
      </c>
      <c r="AN445" s="42"/>
      <c r="AO445" s="42"/>
      <c r="AP445" s="42"/>
      <c r="AQ445" s="42"/>
      <c r="AR445" s="42"/>
      <c r="AS445" s="42"/>
      <c r="AT445" s="19"/>
      <c r="AU445" s="19"/>
      <c r="AV445" s="19"/>
      <c r="AW445" s="19"/>
      <c r="AX445" s="19"/>
      <c r="AY445" s="19"/>
      <c r="AZ445" s="42"/>
      <c r="BA445" s="42"/>
      <c r="BB445" s="42"/>
      <c r="BC445" s="42"/>
      <c r="BD445" s="42"/>
      <c r="BE445" s="42"/>
    </row>
    <row r="446" spans="1:57" x14ac:dyDescent="0.25">
      <c r="A446" s="6" t="s">
        <v>8</v>
      </c>
      <c r="B446" s="23" t="s">
        <v>2888</v>
      </c>
      <c r="C446" s="70" t="s">
        <v>897</v>
      </c>
      <c r="D446" t="s">
        <v>806</v>
      </c>
      <c r="E446" s="5">
        <f>56+1/60+30.4284/3600</f>
        <v>56.025118999999997</v>
      </c>
      <c r="F446" s="5">
        <f>12+41/60+30.0084/3600</f>
        <v>12.691669000000001</v>
      </c>
      <c r="G446" s="5"/>
      <c r="H446" s="9" t="s">
        <v>150</v>
      </c>
      <c r="I446" s="24" t="s">
        <v>169</v>
      </c>
      <c r="J446" s="7" t="s">
        <v>169</v>
      </c>
      <c r="K446" s="24" t="s">
        <v>951</v>
      </c>
      <c r="L446" s="41" t="s">
        <v>2048</v>
      </c>
      <c r="M446" s="7" t="s">
        <v>2653</v>
      </c>
      <c r="O446" s="42" t="s">
        <v>160</v>
      </c>
      <c r="P446" s="42" t="s">
        <v>160</v>
      </c>
      <c r="X446" s="19" t="s">
        <v>160</v>
      </c>
      <c r="Y446" s="19" t="s">
        <v>160</v>
      </c>
      <c r="AL446" s="19" t="s">
        <v>160</v>
      </c>
      <c r="AM446" s="19" t="s">
        <v>160</v>
      </c>
      <c r="BB446" s="19"/>
      <c r="BC446" s="19"/>
      <c r="BD446" s="19"/>
      <c r="BE446" s="19"/>
    </row>
    <row r="447" spans="1:57" x14ac:dyDescent="0.25">
      <c r="A447" s="6" t="s">
        <v>8</v>
      </c>
      <c r="B447" s="23">
        <v>35182</v>
      </c>
      <c r="C447" s="70" t="s">
        <v>897</v>
      </c>
      <c r="D447" s="70" t="s">
        <v>806</v>
      </c>
      <c r="E447" s="162">
        <v>56.025118999999997</v>
      </c>
      <c r="F447" s="162">
        <v>12.691668999999999</v>
      </c>
      <c r="G447" s="5"/>
      <c r="H447" s="9" t="s">
        <v>150</v>
      </c>
      <c r="I447" s="24" t="s">
        <v>169</v>
      </c>
      <c r="J447" s="7" t="s">
        <v>169</v>
      </c>
      <c r="K447" s="24" t="s">
        <v>951</v>
      </c>
      <c r="L447" s="41" t="s">
        <v>2048</v>
      </c>
      <c r="M447" s="7" t="s">
        <v>2653</v>
      </c>
      <c r="O447" s="42" t="s">
        <v>160</v>
      </c>
      <c r="P447" s="42" t="s">
        <v>160</v>
      </c>
      <c r="X447" s="19" t="s">
        <v>160</v>
      </c>
      <c r="Y447" s="19" t="s">
        <v>160</v>
      </c>
      <c r="AL447" s="19" t="s">
        <v>160</v>
      </c>
      <c r="AM447" s="19" t="s">
        <v>160</v>
      </c>
      <c r="BB447" s="19"/>
      <c r="BC447" s="19"/>
      <c r="BD447" s="19"/>
      <c r="BE447" s="19"/>
    </row>
    <row r="448" spans="1:57" x14ac:dyDescent="0.25">
      <c r="A448" s="9" t="s">
        <v>706</v>
      </c>
      <c r="B448" s="38">
        <v>130</v>
      </c>
      <c r="C448" s="70" t="s">
        <v>897</v>
      </c>
      <c r="D448" s="62" t="s">
        <v>304</v>
      </c>
      <c r="E448" s="35">
        <v>56.025517000000001</v>
      </c>
      <c r="F448" s="35">
        <v>12.691433</v>
      </c>
      <c r="H448" s="9" t="s">
        <v>150</v>
      </c>
      <c r="I448" s="7" t="s">
        <v>169</v>
      </c>
      <c r="J448" s="7" t="s">
        <v>169</v>
      </c>
      <c r="K448" s="9" t="s">
        <v>951</v>
      </c>
      <c r="L448" s="7" t="s">
        <v>2048</v>
      </c>
      <c r="M448" s="7" t="s">
        <v>2653</v>
      </c>
      <c r="O448" s="19" t="s">
        <v>160</v>
      </c>
      <c r="P448" s="19" t="s">
        <v>160</v>
      </c>
      <c r="X448" s="19" t="s">
        <v>160</v>
      </c>
      <c r="Y448" s="19" t="s">
        <v>160</v>
      </c>
      <c r="AL448" s="19" t="s">
        <v>160</v>
      </c>
      <c r="AM448" s="19" t="s">
        <v>160</v>
      </c>
      <c r="BB448" s="19"/>
      <c r="BC448" s="19"/>
      <c r="BD448" s="19"/>
      <c r="BE448" s="19"/>
    </row>
    <row r="449" spans="1:57" x14ac:dyDescent="0.25">
      <c r="A449" s="9" t="s">
        <v>8</v>
      </c>
      <c r="B449" s="27">
        <v>37210</v>
      </c>
      <c r="C449" s="28" t="s">
        <v>1924</v>
      </c>
      <c r="D449" s="28" t="s">
        <v>1413</v>
      </c>
      <c r="E449" s="25">
        <v>57.416699999999999</v>
      </c>
      <c r="F449" s="25">
        <v>18.916699999999999</v>
      </c>
      <c r="H449" s="9" t="s">
        <v>150</v>
      </c>
      <c r="I449" s="6" t="s">
        <v>8</v>
      </c>
      <c r="J449" s="21" t="s">
        <v>8</v>
      </c>
      <c r="K449" s="6" t="s">
        <v>2455</v>
      </c>
      <c r="L449" s="7" t="s">
        <v>2027</v>
      </c>
      <c r="M449" s="28" t="s">
        <v>717</v>
      </c>
      <c r="N449" s="19" t="s">
        <v>1836</v>
      </c>
      <c r="O449" s="22"/>
      <c r="T449" s="7"/>
      <c r="X449" s="19" t="s">
        <v>160</v>
      </c>
      <c r="BA449" s="7"/>
      <c r="BB449" s="7"/>
      <c r="BC449" s="7"/>
      <c r="BD449" s="7"/>
      <c r="BE449" s="7"/>
    </row>
    <row r="450" spans="1:57" x14ac:dyDescent="0.25">
      <c r="A450" s="6" t="s">
        <v>8</v>
      </c>
      <c r="B450" s="9">
        <v>78250</v>
      </c>
      <c r="C450" s="9" t="s">
        <v>2375</v>
      </c>
      <c r="D450" s="9" t="s">
        <v>1413</v>
      </c>
      <c r="E450" s="3">
        <v>57.4208</v>
      </c>
      <c r="F450" s="3">
        <v>18.917400000000001</v>
      </c>
      <c r="G450" s="9">
        <v>5</v>
      </c>
      <c r="H450" s="9" t="s">
        <v>150</v>
      </c>
      <c r="I450" s="6" t="s">
        <v>8</v>
      </c>
      <c r="J450" s="21" t="s">
        <v>8</v>
      </c>
      <c r="K450" s="3" t="s">
        <v>5</v>
      </c>
      <c r="L450" s="5" t="s">
        <v>2680</v>
      </c>
      <c r="M450" s="7" t="s">
        <v>717</v>
      </c>
      <c r="N450" s="19" t="s">
        <v>2484</v>
      </c>
      <c r="O450" s="22"/>
      <c r="P450" s="19" t="s">
        <v>160</v>
      </c>
      <c r="AR450" s="19" t="s">
        <v>160</v>
      </c>
      <c r="AT450" s="19" t="s">
        <v>160</v>
      </c>
      <c r="AV450" s="19" t="s">
        <v>160</v>
      </c>
      <c r="AX450" s="19" t="s">
        <v>160</v>
      </c>
      <c r="AZ450" s="19" t="s">
        <v>160</v>
      </c>
      <c r="BB450" s="19"/>
      <c r="BC450" s="19"/>
      <c r="BD450" s="19"/>
      <c r="BE450" s="19"/>
    </row>
    <row r="451" spans="1:57" s="94" customFormat="1" x14ac:dyDescent="0.25">
      <c r="A451" s="98" t="s">
        <v>2773</v>
      </c>
      <c r="B451" s="135">
        <v>30031</v>
      </c>
      <c r="C451" s="98" t="s">
        <v>1249</v>
      </c>
      <c r="D451" s="98" t="s">
        <v>1206</v>
      </c>
      <c r="E451" s="190">
        <f>65+34/60+12/3600</f>
        <v>65.569999999999993</v>
      </c>
      <c r="F451" s="190">
        <f>22+13/60+48/3600</f>
        <v>22.229999999999997</v>
      </c>
      <c r="G451" s="101"/>
      <c r="H451" s="98" t="s">
        <v>150</v>
      </c>
      <c r="I451" s="98" t="s">
        <v>8</v>
      </c>
      <c r="J451" s="102" t="s">
        <v>8</v>
      </c>
      <c r="K451" s="98" t="s">
        <v>6</v>
      </c>
      <c r="L451" s="102" t="s">
        <v>2030</v>
      </c>
      <c r="M451" s="102" t="s">
        <v>717</v>
      </c>
      <c r="N451" s="104" t="s">
        <v>1279</v>
      </c>
      <c r="O451" s="104"/>
      <c r="P451" s="104"/>
      <c r="Q451" s="103" t="s">
        <v>1676</v>
      </c>
      <c r="R451" s="103"/>
      <c r="S451" s="103"/>
      <c r="T451" s="103"/>
      <c r="U451" s="104">
        <v>4</v>
      </c>
      <c r="V451" s="103" t="s">
        <v>160</v>
      </c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  <c r="BD451" s="103"/>
      <c r="BE451" s="103"/>
    </row>
    <row r="452" spans="1:57" x14ac:dyDescent="0.25">
      <c r="A452" s="10" t="s">
        <v>8</v>
      </c>
      <c r="B452" s="155">
        <v>30031</v>
      </c>
      <c r="C452" s="10" t="s">
        <v>1249</v>
      </c>
      <c r="D452" s="10" t="s">
        <v>1206</v>
      </c>
      <c r="E452" s="195">
        <v>65.569999999999993</v>
      </c>
      <c r="F452" s="195">
        <v>22.23</v>
      </c>
      <c r="G452" s="30"/>
      <c r="H452" s="10" t="s">
        <v>150</v>
      </c>
      <c r="I452" s="10" t="s">
        <v>8</v>
      </c>
      <c r="J452" s="24" t="s">
        <v>8</v>
      </c>
      <c r="K452" s="10" t="s">
        <v>6</v>
      </c>
      <c r="L452" s="24" t="s">
        <v>2030</v>
      </c>
      <c r="M452" s="24" t="s">
        <v>717</v>
      </c>
      <c r="N452" s="22" t="s">
        <v>1279</v>
      </c>
      <c r="O452" s="22"/>
      <c r="P452" s="22"/>
      <c r="Q452" s="20" t="s">
        <v>1676</v>
      </c>
      <c r="R452" s="20"/>
      <c r="S452" s="20"/>
      <c r="T452" s="20"/>
      <c r="U452" s="22">
        <v>4</v>
      </c>
      <c r="V452" s="20" t="s">
        <v>160</v>
      </c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</row>
    <row r="453" spans="1:57" s="94" customFormat="1" x14ac:dyDescent="0.25">
      <c r="A453" s="9" t="s">
        <v>707</v>
      </c>
      <c r="B453" s="137" t="s">
        <v>311</v>
      </c>
      <c r="C453" s="39" t="s">
        <v>848</v>
      </c>
      <c r="D453" s="40" t="s">
        <v>312</v>
      </c>
      <c r="E453" s="46" t="s">
        <v>2107</v>
      </c>
      <c r="F453" s="46" t="s">
        <v>2108</v>
      </c>
      <c r="G453" s="40"/>
      <c r="H453" s="9" t="s">
        <v>151</v>
      </c>
      <c r="I453" s="41" t="s">
        <v>169</v>
      </c>
      <c r="J453" s="41" t="s">
        <v>169</v>
      </c>
      <c r="K453" s="40" t="s">
        <v>40</v>
      </c>
      <c r="L453" s="41" t="s">
        <v>2057</v>
      </c>
      <c r="M453" s="7" t="s">
        <v>2653</v>
      </c>
      <c r="N453" s="19"/>
      <c r="O453" s="19"/>
      <c r="P453" s="19"/>
      <c r="Q453" s="19"/>
      <c r="R453" s="19"/>
      <c r="S453" s="19"/>
      <c r="T453" s="19"/>
      <c r="U453" s="19"/>
      <c r="V453" s="42" t="s">
        <v>160</v>
      </c>
      <c r="W453" s="42" t="s">
        <v>160</v>
      </c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  <c r="AR453" s="42" t="s">
        <v>160</v>
      </c>
      <c r="AS453" s="42" t="s">
        <v>160</v>
      </c>
      <c r="AT453" s="19"/>
      <c r="AU453" s="19"/>
      <c r="AV453" s="19"/>
      <c r="AW453" s="19"/>
      <c r="AX453" s="19"/>
      <c r="AY453" s="19"/>
      <c r="AZ453" s="42" t="s">
        <v>160</v>
      </c>
      <c r="BA453" s="42" t="s">
        <v>160</v>
      </c>
      <c r="BB453" s="42"/>
      <c r="BC453" s="42"/>
      <c r="BD453" s="42"/>
      <c r="BE453" s="42"/>
    </row>
    <row r="454" spans="1:57" x14ac:dyDescent="0.25">
      <c r="A454" s="114" t="s">
        <v>2773</v>
      </c>
      <c r="B454" s="139" t="s">
        <v>2834</v>
      </c>
      <c r="C454" s="110" t="s">
        <v>848</v>
      </c>
      <c r="D454" s="153" t="s">
        <v>41</v>
      </c>
      <c r="E454" s="81">
        <f>59+31/60+59.041/3600</f>
        <v>59.533066944444442</v>
      </c>
      <c r="F454" s="81">
        <f>17+0/60+29.398/3600</f>
        <v>17.008166111111112</v>
      </c>
      <c r="G454" s="93"/>
      <c r="H454" s="94" t="s">
        <v>151</v>
      </c>
      <c r="I454" s="102" t="s">
        <v>169</v>
      </c>
      <c r="J454" s="102" t="s">
        <v>169</v>
      </c>
      <c r="K454" s="102" t="s">
        <v>40</v>
      </c>
      <c r="L454" s="102" t="s">
        <v>2057</v>
      </c>
      <c r="M454" s="105" t="s">
        <v>2653</v>
      </c>
      <c r="N454" s="108"/>
      <c r="O454" s="108"/>
      <c r="P454" s="108"/>
      <c r="Q454" s="108"/>
      <c r="R454" s="108"/>
      <c r="S454" s="108"/>
      <c r="T454" s="108"/>
      <c r="U454" s="108"/>
      <c r="V454" s="108" t="s">
        <v>160</v>
      </c>
      <c r="W454" s="108" t="s">
        <v>160</v>
      </c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08"/>
      <c r="AH454" s="108"/>
      <c r="AI454" s="108"/>
      <c r="AJ454" s="108"/>
      <c r="AK454" s="108"/>
      <c r="AL454" s="108"/>
      <c r="AM454" s="108"/>
      <c r="AN454" s="108"/>
      <c r="AO454" s="108"/>
      <c r="AP454" s="108"/>
      <c r="AQ454" s="108"/>
      <c r="AR454" s="108" t="s">
        <v>160</v>
      </c>
      <c r="AS454" s="108" t="s">
        <v>160</v>
      </c>
      <c r="AT454" s="108"/>
      <c r="AU454" s="108"/>
      <c r="AV454" s="108"/>
      <c r="AW454" s="108"/>
      <c r="AX454" s="108"/>
      <c r="AY454" s="108"/>
      <c r="AZ454" s="108" t="s">
        <v>160</v>
      </c>
      <c r="BA454" s="108" t="s">
        <v>160</v>
      </c>
      <c r="BB454" s="108"/>
      <c r="BC454" s="108"/>
      <c r="BD454" s="108"/>
      <c r="BE454" s="108"/>
    </row>
    <row r="455" spans="1:57" x14ac:dyDescent="0.25">
      <c r="A455" s="6" t="s">
        <v>8</v>
      </c>
      <c r="B455" s="142" t="s">
        <v>2889</v>
      </c>
      <c r="C455" s="23" t="s">
        <v>848</v>
      </c>
      <c r="D455" s="24" t="s">
        <v>848</v>
      </c>
      <c r="E455" s="66">
        <f>59+31/60+59.041/3600</f>
        <v>59.533066944444442</v>
      </c>
      <c r="F455" s="66">
        <f>17+0/60+29.398/3600</f>
        <v>17.008166111111112</v>
      </c>
      <c r="G455" s="5"/>
      <c r="H455" s="9" t="s">
        <v>151</v>
      </c>
      <c r="I455" s="24" t="s">
        <v>169</v>
      </c>
      <c r="J455" s="24" t="s">
        <v>169</v>
      </c>
      <c r="K455" s="24" t="s">
        <v>40</v>
      </c>
      <c r="L455" s="24" t="s">
        <v>2057</v>
      </c>
      <c r="M455" s="7" t="s">
        <v>2653</v>
      </c>
      <c r="V455" s="19" t="s">
        <v>160</v>
      </c>
      <c r="W455" s="19" t="s">
        <v>160</v>
      </c>
      <c r="AR455" s="19" t="s">
        <v>160</v>
      </c>
      <c r="AS455" s="19" t="s">
        <v>160</v>
      </c>
      <c r="AZ455" s="19" t="s">
        <v>160</v>
      </c>
      <c r="BA455" s="19" t="s">
        <v>160</v>
      </c>
      <c r="BB455" s="19"/>
      <c r="BC455" s="19"/>
      <c r="BD455" s="19"/>
      <c r="BE455" s="19"/>
    </row>
    <row r="456" spans="1:57" x14ac:dyDescent="0.25">
      <c r="A456" s="9" t="s">
        <v>706</v>
      </c>
      <c r="B456" s="140">
        <v>56</v>
      </c>
      <c r="C456" s="39" t="s">
        <v>848</v>
      </c>
      <c r="D456" s="62" t="s">
        <v>41</v>
      </c>
      <c r="E456" s="3">
        <f>59+31/60+59/3600</f>
        <v>59.533055555555556</v>
      </c>
      <c r="F456" s="3">
        <f>17+0/60+29/3600</f>
        <v>17.008055555555554</v>
      </c>
      <c r="G456" s="5"/>
      <c r="H456" s="9" t="s">
        <v>151</v>
      </c>
      <c r="I456" s="7" t="s">
        <v>169</v>
      </c>
      <c r="J456" s="7" t="s">
        <v>169</v>
      </c>
      <c r="K456" s="9" t="s">
        <v>40</v>
      </c>
      <c r="L456" s="7" t="s">
        <v>2057</v>
      </c>
      <c r="M456" s="7" t="s">
        <v>2653</v>
      </c>
      <c r="V456" s="19" t="s">
        <v>160</v>
      </c>
      <c r="W456" s="19" t="s">
        <v>160</v>
      </c>
      <c r="AR456" s="19" t="s">
        <v>160</v>
      </c>
      <c r="AS456" s="19" t="s">
        <v>160</v>
      </c>
      <c r="AZ456" s="19" t="s">
        <v>160</v>
      </c>
      <c r="BA456" s="19" t="s">
        <v>160</v>
      </c>
      <c r="BB456" s="19"/>
      <c r="BC456" s="19"/>
      <c r="BD456" s="19"/>
      <c r="BE456" s="19"/>
    </row>
    <row r="457" spans="1:57" x14ac:dyDescent="0.25">
      <c r="A457" s="6" t="s">
        <v>8</v>
      </c>
      <c r="B457" s="23">
        <v>35142</v>
      </c>
      <c r="C457" s="23" t="s">
        <v>807</v>
      </c>
      <c r="D457" s="24" t="s">
        <v>807</v>
      </c>
      <c r="E457" s="25">
        <v>58.591332999999999</v>
      </c>
      <c r="F457" s="25">
        <v>16.198833</v>
      </c>
      <c r="G457" s="25"/>
      <c r="H457" s="9" t="s">
        <v>150</v>
      </c>
      <c r="I457" s="24" t="s">
        <v>169</v>
      </c>
      <c r="J457" s="24" t="s">
        <v>169</v>
      </c>
      <c r="K457" s="24" t="s">
        <v>5</v>
      </c>
      <c r="L457" s="24" t="s">
        <v>2043</v>
      </c>
      <c r="M457" s="7" t="s">
        <v>2653</v>
      </c>
      <c r="AR457" s="19" t="s">
        <v>160</v>
      </c>
      <c r="AS457" s="19" t="s">
        <v>160</v>
      </c>
      <c r="BB457" s="19"/>
      <c r="BC457" s="19"/>
      <c r="BD457" s="19"/>
      <c r="BE457" s="19"/>
    </row>
    <row r="458" spans="1:57" x14ac:dyDescent="0.25">
      <c r="A458" s="6" t="s">
        <v>8</v>
      </c>
      <c r="B458" s="23">
        <v>35143</v>
      </c>
      <c r="C458" s="23" t="s">
        <v>900</v>
      </c>
      <c r="D458" s="24" t="s">
        <v>808</v>
      </c>
      <c r="E458" s="25">
        <v>58.633000000000003</v>
      </c>
      <c r="F458" s="25">
        <v>16</v>
      </c>
      <c r="G458" s="25"/>
      <c r="H458" s="9" t="s">
        <v>150</v>
      </c>
      <c r="I458" s="24" t="s">
        <v>169</v>
      </c>
      <c r="J458" s="24" t="s">
        <v>169</v>
      </c>
      <c r="K458" s="24" t="s">
        <v>5</v>
      </c>
      <c r="L458" s="24" t="s">
        <v>2043</v>
      </c>
      <c r="M458" s="7" t="s">
        <v>2653</v>
      </c>
      <c r="AR458" s="19" t="s">
        <v>160</v>
      </c>
      <c r="AS458" s="19" t="s">
        <v>160</v>
      </c>
      <c r="BB458" s="19"/>
      <c r="BC458" s="19"/>
      <c r="BD458" s="19"/>
      <c r="BE458" s="19"/>
    </row>
    <row r="459" spans="1:57" x14ac:dyDescent="0.25">
      <c r="A459" s="9" t="s">
        <v>8</v>
      </c>
      <c r="B459" s="26">
        <v>35060</v>
      </c>
      <c r="C459" s="24" t="s">
        <v>1414</v>
      </c>
      <c r="D459" s="24" t="s">
        <v>1414</v>
      </c>
      <c r="E459" s="25">
        <f>56+50/60</f>
        <v>56.833333333333336</v>
      </c>
      <c r="F459" s="25">
        <f>18+13/60</f>
        <v>18.216666666666665</v>
      </c>
      <c r="G459" s="9"/>
      <c r="H459" s="9" t="s">
        <v>150</v>
      </c>
      <c r="I459" s="9" t="s">
        <v>8</v>
      </c>
      <c r="J459" s="7" t="s">
        <v>8</v>
      </c>
      <c r="K459" s="10" t="s">
        <v>951</v>
      </c>
      <c r="L459" s="7" t="s">
        <v>2044</v>
      </c>
      <c r="M459" s="7" t="s">
        <v>717</v>
      </c>
      <c r="N459" s="42" t="s">
        <v>1351</v>
      </c>
      <c r="O459" s="22"/>
      <c r="P459" s="42" t="s">
        <v>160</v>
      </c>
      <c r="S459" s="42" t="s">
        <v>160</v>
      </c>
      <c r="T459" s="19" t="s">
        <v>160</v>
      </c>
      <c r="U459" s="42"/>
      <c r="AN459" s="19" t="s">
        <v>160</v>
      </c>
      <c r="BB459" s="19"/>
      <c r="BC459" s="19"/>
      <c r="BD459" s="19"/>
      <c r="BE459" s="19"/>
    </row>
    <row r="460" spans="1:57" x14ac:dyDescent="0.25">
      <c r="A460" s="9" t="s">
        <v>8</v>
      </c>
      <c r="B460" s="27">
        <v>37212</v>
      </c>
      <c r="C460" s="28" t="s">
        <v>1925</v>
      </c>
      <c r="D460" s="28" t="s">
        <v>1414</v>
      </c>
      <c r="E460" s="25">
        <v>56.916699999999999</v>
      </c>
      <c r="F460" s="25">
        <v>18.25</v>
      </c>
      <c r="H460" s="9" t="s">
        <v>150</v>
      </c>
      <c r="I460" s="21" t="s">
        <v>8</v>
      </c>
      <c r="J460" s="21" t="s">
        <v>8</v>
      </c>
      <c r="K460" s="6" t="s">
        <v>2455</v>
      </c>
      <c r="L460" s="7" t="s">
        <v>2027</v>
      </c>
      <c r="M460" s="28" t="s">
        <v>2653</v>
      </c>
      <c r="N460" s="19" t="s">
        <v>1838</v>
      </c>
      <c r="O460" s="22"/>
      <c r="T460" s="7"/>
      <c r="X460" s="19" t="s">
        <v>160</v>
      </c>
      <c r="Y460" s="19" t="s">
        <v>160</v>
      </c>
      <c r="BA460" s="7"/>
      <c r="BB460" s="7"/>
      <c r="BC460" s="7"/>
      <c r="BD460" s="7"/>
      <c r="BE460" s="7"/>
    </row>
    <row r="461" spans="1:57" x14ac:dyDescent="0.25">
      <c r="A461" s="6" t="s">
        <v>8</v>
      </c>
      <c r="B461" s="9">
        <v>68550</v>
      </c>
      <c r="C461" s="9" t="s">
        <v>2279</v>
      </c>
      <c r="D461" s="9" t="s">
        <v>1414</v>
      </c>
      <c r="E461" s="3">
        <v>56.922199999999997</v>
      </c>
      <c r="F461" s="3">
        <v>18.147099999999998</v>
      </c>
      <c r="G461" s="9">
        <v>38</v>
      </c>
      <c r="H461" s="9" t="s">
        <v>150</v>
      </c>
      <c r="I461" s="6" t="s">
        <v>8</v>
      </c>
      <c r="J461" s="21" t="s">
        <v>8</v>
      </c>
      <c r="K461" s="3" t="s">
        <v>5</v>
      </c>
      <c r="L461" s="5" t="s">
        <v>2680</v>
      </c>
      <c r="M461" s="7" t="s">
        <v>717</v>
      </c>
      <c r="N461" s="19" t="s">
        <v>2485</v>
      </c>
      <c r="O461" s="22"/>
      <c r="P461" s="19" t="s">
        <v>160</v>
      </c>
      <c r="AR461" s="19" t="s">
        <v>160</v>
      </c>
      <c r="AT461" s="19" t="s">
        <v>160</v>
      </c>
      <c r="AV461" s="19" t="s">
        <v>160</v>
      </c>
      <c r="AX461" s="19" t="s">
        <v>160</v>
      </c>
      <c r="AZ461" s="19" t="s">
        <v>160</v>
      </c>
      <c r="BB461" s="19"/>
      <c r="BC461" s="19"/>
      <c r="BD461" s="19"/>
      <c r="BE461" s="19"/>
    </row>
    <row r="462" spans="1:57" s="94" customFormat="1" x14ac:dyDescent="0.25">
      <c r="A462" s="9" t="s">
        <v>707</v>
      </c>
      <c r="B462" s="39" t="s">
        <v>313</v>
      </c>
      <c r="C462" s="39" t="s">
        <v>942</v>
      </c>
      <c r="D462" s="40" t="s">
        <v>314</v>
      </c>
      <c r="E462" s="46" t="s">
        <v>316</v>
      </c>
      <c r="F462" s="46" t="s">
        <v>315</v>
      </c>
      <c r="G462" s="40"/>
      <c r="H462" s="9" t="s">
        <v>150</v>
      </c>
      <c r="I462" s="41" t="s">
        <v>8</v>
      </c>
      <c r="J462" s="41" t="s">
        <v>8</v>
      </c>
      <c r="K462" s="40" t="s">
        <v>5</v>
      </c>
      <c r="L462" s="5" t="s">
        <v>2680</v>
      </c>
      <c r="M462" s="7" t="s">
        <v>2653</v>
      </c>
      <c r="N462" s="19" t="s">
        <v>1108</v>
      </c>
      <c r="O462" s="22"/>
      <c r="P462" s="19" t="s">
        <v>160</v>
      </c>
      <c r="Q462" s="19"/>
      <c r="R462" s="19"/>
      <c r="S462" s="19"/>
      <c r="T462" s="19"/>
      <c r="U462" s="19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  <c r="AQ462" s="42"/>
      <c r="AR462" s="42" t="s">
        <v>160</v>
      </c>
      <c r="AS462" s="42" t="s">
        <v>160</v>
      </c>
      <c r="AT462" s="19" t="s">
        <v>160</v>
      </c>
      <c r="AU462" s="19" t="s">
        <v>160</v>
      </c>
      <c r="AV462" s="19" t="s">
        <v>160</v>
      </c>
      <c r="AW462" s="19" t="s">
        <v>160</v>
      </c>
      <c r="AX462" s="19" t="s">
        <v>160</v>
      </c>
      <c r="AY462" s="19" t="s">
        <v>160</v>
      </c>
      <c r="AZ462" s="42" t="s">
        <v>160</v>
      </c>
      <c r="BA462" s="42" t="s">
        <v>160</v>
      </c>
      <c r="BB462" s="42"/>
      <c r="BC462" s="42"/>
      <c r="BD462" s="42"/>
      <c r="BE462" s="42"/>
    </row>
    <row r="463" spans="1:57" x14ac:dyDescent="0.25">
      <c r="A463" s="114" t="s">
        <v>2773</v>
      </c>
      <c r="B463" s="94" t="s">
        <v>2855</v>
      </c>
      <c r="C463" s="94" t="s">
        <v>942</v>
      </c>
      <c r="D463" s="163" t="s">
        <v>945</v>
      </c>
      <c r="E463" s="84">
        <f>56+55/60+15.24/3600</f>
        <v>56.920899999999996</v>
      </c>
      <c r="F463" s="84">
        <f>18+9/60+2.16/3600</f>
        <v>18.150599999999997</v>
      </c>
      <c r="G463" s="94">
        <v>34.118000000000002</v>
      </c>
      <c r="H463" s="94" t="s">
        <v>150</v>
      </c>
      <c r="I463" s="122" t="s">
        <v>8</v>
      </c>
      <c r="J463" s="122" t="s">
        <v>8</v>
      </c>
      <c r="K463" s="82" t="s">
        <v>5</v>
      </c>
      <c r="L463" s="93" t="s">
        <v>2680</v>
      </c>
      <c r="M463" s="105" t="s">
        <v>2653</v>
      </c>
      <c r="N463" s="108" t="s">
        <v>1108</v>
      </c>
      <c r="O463" s="104"/>
      <c r="P463" s="108" t="s">
        <v>160</v>
      </c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  <c r="AA463" s="108"/>
      <c r="AB463" s="108"/>
      <c r="AC463" s="108"/>
      <c r="AD463" s="108"/>
      <c r="AE463" s="108"/>
      <c r="AF463" s="108"/>
      <c r="AG463" s="108"/>
      <c r="AH463" s="108"/>
      <c r="AI463" s="108"/>
      <c r="AJ463" s="108"/>
      <c r="AK463" s="108"/>
      <c r="AL463" s="108"/>
      <c r="AM463" s="108"/>
      <c r="AN463" s="108"/>
      <c r="AO463" s="108"/>
      <c r="AP463" s="108"/>
      <c r="AQ463" s="108"/>
      <c r="AR463" s="108" t="s">
        <v>160</v>
      </c>
      <c r="AS463" s="108" t="s">
        <v>160</v>
      </c>
      <c r="AT463" s="108" t="s">
        <v>160</v>
      </c>
      <c r="AU463" s="108" t="s">
        <v>160</v>
      </c>
      <c r="AV463" s="108" t="s">
        <v>160</v>
      </c>
      <c r="AW463" s="108" t="s">
        <v>160</v>
      </c>
      <c r="AX463" s="108" t="s">
        <v>160</v>
      </c>
      <c r="AY463" s="108" t="s">
        <v>160</v>
      </c>
      <c r="AZ463" s="108" t="s">
        <v>160</v>
      </c>
      <c r="BA463" s="108" t="s">
        <v>160</v>
      </c>
      <c r="BB463" s="108"/>
      <c r="BC463" s="108"/>
      <c r="BD463" s="108"/>
      <c r="BE463" s="108"/>
    </row>
    <row r="464" spans="1:57" x14ac:dyDescent="0.25">
      <c r="A464" s="6" t="s">
        <v>8</v>
      </c>
      <c r="B464" s="9">
        <v>68560</v>
      </c>
      <c r="C464" s="9" t="s">
        <v>942</v>
      </c>
      <c r="D464" s="9" t="s">
        <v>945</v>
      </c>
      <c r="E464" s="157">
        <f>56+55/60+15.24/3600</f>
        <v>56.920899999999996</v>
      </c>
      <c r="F464" s="157">
        <f>18+9/60+2.16/3600</f>
        <v>18.150599999999997</v>
      </c>
      <c r="G464" s="9">
        <v>34.118000000000002</v>
      </c>
      <c r="H464" s="9" t="s">
        <v>150</v>
      </c>
      <c r="I464" s="21" t="s">
        <v>8</v>
      </c>
      <c r="J464" s="21" t="s">
        <v>8</v>
      </c>
      <c r="K464" s="3" t="s">
        <v>5</v>
      </c>
      <c r="L464" s="5" t="s">
        <v>2680</v>
      </c>
      <c r="M464" s="7" t="s">
        <v>2653</v>
      </c>
      <c r="N464" s="19" t="s">
        <v>1108</v>
      </c>
      <c r="O464" s="22"/>
      <c r="P464" s="19" t="s">
        <v>160</v>
      </c>
      <c r="AR464" s="19" t="s">
        <v>160</v>
      </c>
      <c r="AS464" s="19" t="s">
        <v>160</v>
      </c>
      <c r="AT464" s="19" t="s">
        <v>160</v>
      </c>
      <c r="AU464" s="19" t="s">
        <v>160</v>
      </c>
      <c r="AV464" s="19" t="s">
        <v>160</v>
      </c>
      <c r="AW464" s="19" t="s">
        <v>160</v>
      </c>
      <c r="AX464" s="19" t="s">
        <v>160</v>
      </c>
      <c r="AY464" s="19" t="s">
        <v>160</v>
      </c>
      <c r="AZ464" s="19" t="s">
        <v>160</v>
      </c>
      <c r="BA464" s="19" t="s">
        <v>160</v>
      </c>
      <c r="BB464" s="19"/>
      <c r="BC464" s="19"/>
      <c r="BD464" s="19"/>
      <c r="BE464" s="19"/>
    </row>
    <row r="465" spans="1:57" x14ac:dyDescent="0.25">
      <c r="A465" s="9" t="s">
        <v>706</v>
      </c>
      <c r="B465" s="38">
        <v>137</v>
      </c>
      <c r="C465" s="38" t="s">
        <v>942</v>
      </c>
      <c r="D465" s="88" t="s">
        <v>42</v>
      </c>
      <c r="E465" s="3">
        <f>56+55/60+15/3600</f>
        <v>56.920833333333334</v>
      </c>
      <c r="F465" s="3">
        <f>18+19/60+2/3600</f>
        <v>18.31722222222222</v>
      </c>
      <c r="G465" s="9"/>
      <c r="H465" s="9" t="s">
        <v>150</v>
      </c>
      <c r="I465" s="7" t="s">
        <v>8</v>
      </c>
      <c r="J465" s="7" t="s">
        <v>8</v>
      </c>
      <c r="K465" s="9" t="s">
        <v>5</v>
      </c>
      <c r="L465" s="7" t="s">
        <v>2680</v>
      </c>
      <c r="M465" s="7" t="s">
        <v>2653</v>
      </c>
      <c r="N465" s="19" t="s">
        <v>1108</v>
      </c>
      <c r="O465" s="22"/>
      <c r="P465" s="19" t="s">
        <v>160</v>
      </c>
      <c r="AR465" s="19" t="s">
        <v>160</v>
      </c>
      <c r="AS465" s="19" t="s">
        <v>160</v>
      </c>
      <c r="AT465" s="19" t="s">
        <v>160</v>
      </c>
      <c r="AU465" s="19" t="s">
        <v>160</v>
      </c>
      <c r="AV465" s="19" t="s">
        <v>160</v>
      </c>
      <c r="AW465" s="19" t="s">
        <v>160</v>
      </c>
      <c r="AX465" s="19" t="s">
        <v>160</v>
      </c>
      <c r="AY465" s="19" t="s">
        <v>160</v>
      </c>
      <c r="AZ465" s="19" t="s">
        <v>160</v>
      </c>
      <c r="BA465" s="19" t="s">
        <v>160</v>
      </c>
      <c r="BB465" s="19"/>
      <c r="BC465" s="19"/>
      <c r="BD465" s="19"/>
      <c r="BE465" s="19"/>
    </row>
    <row r="466" spans="1:57" x14ac:dyDescent="0.25">
      <c r="A466" s="9" t="s">
        <v>8</v>
      </c>
      <c r="B466" s="27">
        <v>37127</v>
      </c>
      <c r="C466" s="28" t="s">
        <v>1926</v>
      </c>
      <c r="D466" s="28" t="s">
        <v>1415</v>
      </c>
      <c r="E466" s="25">
        <v>61.616700000000002</v>
      </c>
      <c r="F466" s="25">
        <v>17.433299999999999</v>
      </c>
      <c r="H466" s="9" t="s">
        <v>150</v>
      </c>
      <c r="I466" s="6" t="s">
        <v>8</v>
      </c>
      <c r="J466" s="21" t="s">
        <v>8</v>
      </c>
      <c r="K466" s="6" t="s">
        <v>2455</v>
      </c>
      <c r="L466" s="7" t="s">
        <v>2027</v>
      </c>
      <c r="M466" s="28" t="s">
        <v>717</v>
      </c>
      <c r="N466" s="19" t="s">
        <v>1820</v>
      </c>
      <c r="O466" s="22"/>
      <c r="T466" s="7"/>
      <c r="X466" s="19" t="s">
        <v>160</v>
      </c>
      <c r="BA466" s="7"/>
      <c r="BB466" s="7"/>
      <c r="BC466" s="7"/>
      <c r="BD466" s="7"/>
      <c r="BE466" s="7"/>
    </row>
    <row r="467" spans="1:57" x14ac:dyDescent="0.25">
      <c r="A467" s="6" t="s">
        <v>8</v>
      </c>
      <c r="B467" s="9">
        <v>117370</v>
      </c>
      <c r="C467" s="9" t="s">
        <v>2280</v>
      </c>
      <c r="D467" s="9" t="s">
        <v>1415</v>
      </c>
      <c r="E467" s="3">
        <v>61.623899999999999</v>
      </c>
      <c r="F467" s="3">
        <v>17.440100000000001</v>
      </c>
      <c r="G467" s="9">
        <v>5</v>
      </c>
      <c r="H467" s="9" t="s">
        <v>150</v>
      </c>
      <c r="I467" s="6" t="s">
        <v>8</v>
      </c>
      <c r="J467" s="21" t="s">
        <v>8</v>
      </c>
      <c r="K467" s="3" t="s">
        <v>5</v>
      </c>
      <c r="L467" s="5" t="s">
        <v>2681</v>
      </c>
      <c r="M467" s="7" t="s">
        <v>717</v>
      </c>
      <c r="N467" s="19" t="s">
        <v>2486</v>
      </c>
      <c r="O467" s="22"/>
      <c r="P467" s="19" t="s">
        <v>160</v>
      </c>
      <c r="AR467" s="19" t="s">
        <v>160</v>
      </c>
      <c r="AT467" s="19" t="s">
        <v>160</v>
      </c>
      <c r="AX467" s="19" t="s">
        <v>160</v>
      </c>
      <c r="AZ467" s="19" t="s">
        <v>160</v>
      </c>
      <c r="BB467" s="19"/>
      <c r="BC467" s="19"/>
      <c r="BD467" s="19"/>
      <c r="BE467" s="19"/>
    </row>
    <row r="468" spans="1:57" x14ac:dyDescent="0.25">
      <c r="A468" s="6" t="s">
        <v>8</v>
      </c>
      <c r="B468" s="9">
        <v>86200</v>
      </c>
      <c r="C468" s="9" t="s">
        <v>2398</v>
      </c>
      <c r="D468" s="9" t="s">
        <v>1416</v>
      </c>
      <c r="E468" s="3">
        <v>58.3339</v>
      </c>
      <c r="F468" s="3">
        <v>16.8157</v>
      </c>
      <c r="G468" s="9">
        <v>5</v>
      </c>
      <c r="H468" s="3" t="s">
        <v>150</v>
      </c>
      <c r="I468" s="6" t="s">
        <v>8</v>
      </c>
      <c r="J468" s="21" t="s">
        <v>8</v>
      </c>
      <c r="K468" s="3" t="s">
        <v>5</v>
      </c>
      <c r="L468" s="5" t="s">
        <v>2028</v>
      </c>
      <c r="M468" s="5" t="s">
        <v>717</v>
      </c>
      <c r="N468" s="19" t="s">
        <v>2568</v>
      </c>
      <c r="O468" s="22"/>
      <c r="P468" s="19" t="s">
        <v>160</v>
      </c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19" t="s">
        <v>160</v>
      </c>
      <c r="BB468" s="19"/>
      <c r="BC468" s="19"/>
      <c r="BD468" s="19"/>
      <c r="BE468" s="19"/>
    </row>
    <row r="469" spans="1:57" s="94" customFormat="1" x14ac:dyDescent="0.25">
      <c r="A469" s="98" t="s">
        <v>2773</v>
      </c>
      <c r="B469" s="135">
        <v>2057</v>
      </c>
      <c r="C469" s="98" t="s">
        <v>1252</v>
      </c>
      <c r="D469" s="98" t="s">
        <v>1208</v>
      </c>
      <c r="E469" s="189">
        <f>63+36/60</f>
        <v>63.6</v>
      </c>
      <c r="F469" s="189">
        <f>20+45/60</f>
        <v>20.75</v>
      </c>
      <c r="G469" s="101"/>
      <c r="H469" s="98" t="s">
        <v>150</v>
      </c>
      <c r="I469" s="98" t="s">
        <v>8</v>
      </c>
      <c r="J469" s="102" t="s">
        <v>8</v>
      </c>
      <c r="K469" s="98" t="s">
        <v>6</v>
      </c>
      <c r="L469" s="102" t="s">
        <v>2030</v>
      </c>
      <c r="M469" s="102" t="s">
        <v>717</v>
      </c>
      <c r="N469" s="104" t="s">
        <v>1281</v>
      </c>
      <c r="O469" s="104"/>
      <c r="P469" s="104"/>
      <c r="Q469" s="103" t="s">
        <v>1666</v>
      </c>
      <c r="R469" s="103"/>
      <c r="S469" s="103"/>
      <c r="T469" s="103"/>
      <c r="U469" s="104">
        <v>4</v>
      </c>
      <c r="V469" s="103" t="s">
        <v>160</v>
      </c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  <c r="BD469" s="103"/>
      <c r="BE469" s="103"/>
    </row>
    <row r="470" spans="1:57" x14ac:dyDescent="0.25">
      <c r="A470" s="10" t="s">
        <v>8</v>
      </c>
      <c r="B470" s="155">
        <v>2057</v>
      </c>
      <c r="C470" s="10" t="s">
        <v>1252</v>
      </c>
      <c r="D470" s="10" t="s">
        <v>1208</v>
      </c>
      <c r="E470" s="195">
        <v>63.6</v>
      </c>
      <c r="F470" s="195">
        <v>20.75</v>
      </c>
      <c r="G470" s="30"/>
      <c r="H470" s="10" t="s">
        <v>150</v>
      </c>
      <c r="I470" s="10" t="s">
        <v>8</v>
      </c>
      <c r="J470" s="24" t="s">
        <v>8</v>
      </c>
      <c r="K470" s="10" t="s">
        <v>6</v>
      </c>
      <c r="L470" s="24" t="s">
        <v>2030</v>
      </c>
      <c r="M470" s="24" t="s">
        <v>717</v>
      </c>
      <c r="N470" s="22" t="s">
        <v>1281</v>
      </c>
      <c r="O470" s="22"/>
      <c r="P470" s="22"/>
      <c r="Q470" s="20" t="s">
        <v>1666</v>
      </c>
      <c r="R470" s="20"/>
      <c r="S470" s="20"/>
      <c r="T470" s="20"/>
      <c r="U470" s="22">
        <v>4</v>
      </c>
      <c r="V470" s="20" t="s">
        <v>160</v>
      </c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</row>
    <row r="471" spans="1:57" x14ac:dyDescent="0.25">
      <c r="A471" s="6" t="s">
        <v>8</v>
      </c>
      <c r="B471" s="9">
        <v>140360</v>
      </c>
      <c r="C471" s="9" t="s">
        <v>1417</v>
      </c>
      <c r="D471" s="9" t="s">
        <v>1418</v>
      </c>
      <c r="E471" s="3">
        <v>63.594900000000003</v>
      </c>
      <c r="F471" s="3">
        <v>20.756499999999999</v>
      </c>
      <c r="G471" s="9">
        <v>6</v>
      </c>
      <c r="H471" s="9" t="s">
        <v>150</v>
      </c>
      <c r="I471" s="6" t="s">
        <v>8</v>
      </c>
      <c r="J471" s="21" t="s">
        <v>8</v>
      </c>
      <c r="K471" s="3" t="s">
        <v>5</v>
      </c>
      <c r="L471" s="5" t="s">
        <v>2680</v>
      </c>
      <c r="M471" s="7" t="s">
        <v>717</v>
      </c>
      <c r="N471" s="19" t="s">
        <v>2487</v>
      </c>
      <c r="O471" s="22"/>
      <c r="P471" s="19" t="s">
        <v>160</v>
      </c>
      <c r="AR471" s="19" t="s">
        <v>160</v>
      </c>
      <c r="AT471" s="19" t="s">
        <v>160</v>
      </c>
      <c r="AV471" s="19" t="s">
        <v>160</v>
      </c>
      <c r="AX471" s="19" t="s">
        <v>160</v>
      </c>
      <c r="AZ471" s="19" t="s">
        <v>160</v>
      </c>
      <c r="BB471" s="19"/>
      <c r="BC471" s="19"/>
      <c r="BD471" s="19"/>
      <c r="BE471" s="19"/>
    </row>
    <row r="472" spans="1:57" s="94" customFormat="1" x14ac:dyDescent="0.25">
      <c r="A472" s="32" t="s">
        <v>707</v>
      </c>
      <c r="B472" s="33"/>
      <c r="C472" s="33" t="s">
        <v>1419</v>
      </c>
      <c r="D472" s="33" t="s">
        <v>1420</v>
      </c>
      <c r="E472" s="35"/>
      <c r="F472" s="35"/>
      <c r="G472" s="33"/>
      <c r="H472" s="33" t="s">
        <v>150</v>
      </c>
      <c r="I472" s="21" t="s">
        <v>8</v>
      </c>
      <c r="J472" s="32" t="s">
        <v>8</v>
      </c>
      <c r="K472" s="35" t="s">
        <v>5</v>
      </c>
      <c r="L472" s="35" t="s">
        <v>2043</v>
      </c>
      <c r="M472" s="33" t="s">
        <v>2653</v>
      </c>
      <c r="N472" s="37" t="s">
        <v>1109</v>
      </c>
      <c r="O472" s="67"/>
      <c r="P472" s="37" t="s">
        <v>160</v>
      </c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 t="s">
        <v>160</v>
      </c>
      <c r="AS472" s="37" t="s">
        <v>160</v>
      </c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</row>
    <row r="473" spans="1:57" x14ac:dyDescent="0.25">
      <c r="A473" s="114" t="s">
        <v>2773</v>
      </c>
      <c r="B473" s="94" t="s">
        <v>2856</v>
      </c>
      <c r="C473" s="94" t="s">
        <v>1419</v>
      </c>
      <c r="D473" s="153" t="s">
        <v>1420</v>
      </c>
      <c r="E473" s="93">
        <f>63+48/60+25.2/3600</f>
        <v>63.806999999999995</v>
      </c>
      <c r="F473" s="93">
        <f>20+51/60+52.2/3600</f>
        <v>20.864500000000003</v>
      </c>
      <c r="G473" s="94">
        <v>6.5350000000000001</v>
      </c>
      <c r="H473" s="94" t="s">
        <v>150</v>
      </c>
      <c r="I473" s="122" t="s">
        <v>8</v>
      </c>
      <c r="J473" s="122" t="s">
        <v>8</v>
      </c>
      <c r="K473" s="82" t="s">
        <v>5</v>
      </c>
      <c r="L473" s="93" t="s">
        <v>2680</v>
      </c>
      <c r="M473" s="105" t="s">
        <v>2653</v>
      </c>
      <c r="N473" s="108" t="s">
        <v>1109</v>
      </c>
      <c r="O473" s="104"/>
      <c r="P473" s="108" t="s">
        <v>160</v>
      </c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108"/>
      <c r="AB473" s="108"/>
      <c r="AC473" s="108"/>
      <c r="AD473" s="108"/>
      <c r="AE473" s="108"/>
      <c r="AF473" s="108"/>
      <c r="AG473" s="108"/>
      <c r="AH473" s="108"/>
      <c r="AI473" s="108"/>
      <c r="AJ473" s="108"/>
      <c r="AK473" s="108"/>
      <c r="AL473" s="108"/>
      <c r="AM473" s="108"/>
      <c r="AN473" s="108"/>
      <c r="AO473" s="108"/>
      <c r="AP473" s="108"/>
      <c r="AQ473" s="108"/>
      <c r="AR473" s="108" t="s">
        <v>160</v>
      </c>
      <c r="AS473" s="108" t="s">
        <v>160</v>
      </c>
      <c r="AT473" s="108" t="s">
        <v>160</v>
      </c>
      <c r="AU473" s="108" t="s">
        <v>160</v>
      </c>
      <c r="AV473" s="108" t="s">
        <v>160</v>
      </c>
      <c r="AW473" s="108" t="s">
        <v>160</v>
      </c>
      <c r="AX473" s="108" t="s">
        <v>160</v>
      </c>
      <c r="AY473" s="108" t="s">
        <v>160</v>
      </c>
      <c r="AZ473" s="108" t="s">
        <v>160</v>
      </c>
      <c r="BA473" s="108" t="s">
        <v>160</v>
      </c>
      <c r="BB473" s="108"/>
      <c r="BC473" s="108"/>
      <c r="BD473" s="108"/>
      <c r="BE473" s="108"/>
    </row>
    <row r="474" spans="1:57" s="33" customFormat="1" x14ac:dyDescent="0.25">
      <c r="A474" s="6" t="s">
        <v>8</v>
      </c>
      <c r="B474" s="9">
        <v>140460</v>
      </c>
      <c r="C474" s="9" t="s">
        <v>1419</v>
      </c>
      <c r="D474" s="9" t="s">
        <v>1420</v>
      </c>
      <c r="E474" s="5">
        <f>63+48/60+25.2/3600</f>
        <v>63.806999999999995</v>
      </c>
      <c r="F474" s="5">
        <f>20+51/60+52.2/3600</f>
        <v>20.864500000000003</v>
      </c>
      <c r="G474" s="9">
        <v>6.5350000000000001</v>
      </c>
      <c r="H474" s="9" t="s">
        <v>150</v>
      </c>
      <c r="I474" s="21" t="s">
        <v>8</v>
      </c>
      <c r="J474" s="21" t="s">
        <v>8</v>
      </c>
      <c r="K474" s="3" t="s">
        <v>5</v>
      </c>
      <c r="L474" s="5" t="s">
        <v>2680</v>
      </c>
      <c r="M474" s="7" t="s">
        <v>2653</v>
      </c>
      <c r="N474" s="19" t="s">
        <v>1109</v>
      </c>
      <c r="O474" s="22"/>
      <c r="P474" s="19" t="s">
        <v>160</v>
      </c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 t="s">
        <v>160</v>
      </c>
      <c r="AS474" s="19" t="s">
        <v>160</v>
      </c>
      <c r="AT474" s="19" t="s">
        <v>160</v>
      </c>
      <c r="AU474" s="19" t="s">
        <v>160</v>
      </c>
      <c r="AV474" s="19" t="s">
        <v>160</v>
      </c>
      <c r="AW474" s="19" t="s">
        <v>160</v>
      </c>
      <c r="AX474" s="19" t="s">
        <v>160</v>
      </c>
      <c r="AY474" s="19" t="s">
        <v>160</v>
      </c>
      <c r="AZ474" s="19" t="s">
        <v>160</v>
      </c>
      <c r="BA474" s="19" t="s">
        <v>160</v>
      </c>
      <c r="BB474" s="19"/>
      <c r="BC474" s="19"/>
      <c r="BD474" s="19"/>
      <c r="BE474" s="19"/>
    </row>
    <row r="475" spans="1:57" x14ac:dyDescent="0.25">
      <c r="A475" s="6" t="s">
        <v>706</v>
      </c>
      <c r="B475" s="9">
        <v>215</v>
      </c>
      <c r="C475" s="9" t="s">
        <v>1419</v>
      </c>
      <c r="D475" s="62" t="s">
        <v>2663</v>
      </c>
      <c r="E475" s="3">
        <f>63+48/60+26/3600</f>
        <v>63.807222222222222</v>
      </c>
      <c r="F475" s="3">
        <f>20+51/60+52/3600</f>
        <v>20.864444444444445</v>
      </c>
      <c r="G475" s="9"/>
      <c r="H475" s="9" t="s">
        <v>150</v>
      </c>
      <c r="I475" s="21" t="s">
        <v>8</v>
      </c>
      <c r="J475" s="21" t="s">
        <v>8</v>
      </c>
      <c r="K475" s="3" t="s">
        <v>5</v>
      </c>
      <c r="L475" s="5" t="s">
        <v>2043</v>
      </c>
      <c r="M475" s="7" t="s">
        <v>2653</v>
      </c>
      <c r="N475" s="19" t="s">
        <v>1109</v>
      </c>
      <c r="O475" s="22"/>
      <c r="P475" s="19" t="s">
        <v>160</v>
      </c>
      <c r="AR475" s="19" t="s">
        <v>160</v>
      </c>
      <c r="AS475" s="19" t="s">
        <v>160</v>
      </c>
      <c r="BB475" s="19"/>
      <c r="BC475" s="19"/>
      <c r="BD475" s="19"/>
      <c r="BE475" s="19"/>
    </row>
    <row r="476" spans="1:57" x14ac:dyDescent="0.25">
      <c r="A476" s="9" t="s">
        <v>707</v>
      </c>
      <c r="B476" s="137" t="s">
        <v>317</v>
      </c>
      <c r="C476" s="23" t="s">
        <v>741</v>
      </c>
      <c r="D476" s="40" t="s">
        <v>318</v>
      </c>
      <c r="E476" s="46" t="s">
        <v>320</v>
      </c>
      <c r="F476" s="46" t="s">
        <v>319</v>
      </c>
      <c r="G476" s="40"/>
      <c r="H476" s="9" t="s">
        <v>150</v>
      </c>
      <c r="I476" s="41" t="s">
        <v>169</v>
      </c>
      <c r="J476" s="41" t="s">
        <v>169</v>
      </c>
      <c r="K476" s="40" t="s">
        <v>6</v>
      </c>
      <c r="L476" s="41" t="s">
        <v>2031</v>
      </c>
      <c r="M476" s="7" t="s">
        <v>2653</v>
      </c>
      <c r="N476" s="42" t="s">
        <v>1108</v>
      </c>
      <c r="O476" s="42" t="s">
        <v>160</v>
      </c>
      <c r="P476" s="42" t="s">
        <v>160</v>
      </c>
      <c r="Q476" s="44" t="s">
        <v>1202</v>
      </c>
      <c r="S476" s="19" t="s">
        <v>160</v>
      </c>
      <c r="T476" s="19" t="s">
        <v>160</v>
      </c>
      <c r="U476" s="19">
        <v>2</v>
      </c>
      <c r="V476" s="42" t="s">
        <v>160</v>
      </c>
      <c r="W476" s="42" t="s">
        <v>160</v>
      </c>
      <c r="X476" s="42" t="s">
        <v>160</v>
      </c>
      <c r="Y476" s="42" t="s">
        <v>160</v>
      </c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  <c r="AR476" s="42"/>
      <c r="AS476" s="42"/>
      <c r="AZ476" s="42"/>
      <c r="BA476" s="42"/>
      <c r="BB476" s="42"/>
      <c r="BC476" s="42"/>
      <c r="BD476" s="42"/>
      <c r="BE476" s="42"/>
    </row>
    <row r="477" spans="1:57" x14ac:dyDescent="0.25">
      <c r="A477" s="53" t="s">
        <v>2763</v>
      </c>
      <c r="B477" s="143">
        <v>35124</v>
      </c>
      <c r="C477" s="85" t="s">
        <v>741</v>
      </c>
      <c r="D477" s="85" t="s">
        <v>741</v>
      </c>
      <c r="E477" s="3">
        <v>63.695428999999997</v>
      </c>
      <c r="F477" s="3">
        <v>20.347505000000002</v>
      </c>
      <c r="G477" s="85">
        <v>1.6</v>
      </c>
      <c r="H477" s="7" t="s">
        <v>150</v>
      </c>
      <c r="I477" s="7" t="s">
        <v>169</v>
      </c>
      <c r="J477" s="7" t="s">
        <v>169</v>
      </c>
      <c r="K477" s="7" t="s">
        <v>6</v>
      </c>
      <c r="L477" s="7" t="s">
        <v>2031</v>
      </c>
      <c r="M477" s="7" t="s">
        <v>2653</v>
      </c>
      <c r="N477" s="42" t="s">
        <v>1108</v>
      </c>
      <c r="O477" s="42" t="s">
        <v>160</v>
      </c>
      <c r="P477" s="42" t="s">
        <v>160</v>
      </c>
      <c r="Q477" s="44" t="s">
        <v>1202</v>
      </c>
      <c r="S477" s="19" t="s">
        <v>160</v>
      </c>
      <c r="T477" s="19" t="s">
        <v>160</v>
      </c>
      <c r="U477" s="42">
        <v>2</v>
      </c>
      <c r="V477" s="20" t="s">
        <v>160</v>
      </c>
      <c r="W477" s="20" t="s">
        <v>160</v>
      </c>
      <c r="X477" s="20" t="s">
        <v>160</v>
      </c>
      <c r="Y477" s="20" t="s">
        <v>160</v>
      </c>
      <c r="Z477" s="85"/>
      <c r="AA477" s="85"/>
      <c r="AB477" s="85"/>
      <c r="AC477" s="85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  <c r="AN477" s="85"/>
      <c r="AO477" s="85"/>
      <c r="AP477" s="85"/>
      <c r="AQ477" s="85"/>
      <c r="AR477" s="85"/>
      <c r="AS477" s="85"/>
      <c r="AT477" s="85"/>
      <c r="AU477" s="85"/>
      <c r="AV477" s="85"/>
      <c r="AW477" s="85"/>
      <c r="AX477" s="85"/>
      <c r="AY477" s="85"/>
      <c r="AZ477" s="85"/>
      <c r="BA477" s="85"/>
      <c r="BB477" s="85"/>
      <c r="BC477" s="85"/>
      <c r="BD477" s="85"/>
      <c r="BE477" s="85"/>
    </row>
    <row r="478" spans="1:57" s="94" customFormat="1" x14ac:dyDescent="0.25">
      <c r="A478" s="105" t="s">
        <v>2773</v>
      </c>
      <c r="B478" s="139" t="s">
        <v>2835</v>
      </c>
      <c r="C478" s="110" t="s">
        <v>741</v>
      </c>
      <c r="D478" s="163" t="s">
        <v>43</v>
      </c>
      <c r="E478" s="82">
        <f>63+42/60+10.08/3600</f>
        <v>63.702800000000003</v>
      </c>
      <c r="F478" s="82">
        <f>20+20/60+49.236/3600</f>
        <v>20.347009999999997</v>
      </c>
      <c r="G478" s="179">
        <v>1.6</v>
      </c>
      <c r="H478" s="105" t="s">
        <v>150</v>
      </c>
      <c r="I478" s="105" t="s">
        <v>169</v>
      </c>
      <c r="J478" s="105" t="s">
        <v>169</v>
      </c>
      <c r="K478" s="105" t="s">
        <v>6</v>
      </c>
      <c r="L478" s="105" t="s">
        <v>2031</v>
      </c>
      <c r="M478" s="105" t="s">
        <v>2653</v>
      </c>
      <c r="N478" s="106" t="s">
        <v>1108</v>
      </c>
      <c r="O478" s="106" t="s">
        <v>160</v>
      </c>
      <c r="P478" s="106" t="s">
        <v>160</v>
      </c>
      <c r="Q478" s="107" t="s">
        <v>1202</v>
      </c>
      <c r="R478" s="108"/>
      <c r="S478" s="108" t="s">
        <v>160</v>
      </c>
      <c r="T478" s="108" t="s">
        <v>160</v>
      </c>
      <c r="U478" s="106">
        <v>2</v>
      </c>
      <c r="V478" s="103" t="s">
        <v>160</v>
      </c>
      <c r="W478" s="103" t="s">
        <v>160</v>
      </c>
      <c r="X478" s="103" t="s">
        <v>160</v>
      </c>
      <c r="Y478" s="103" t="s">
        <v>160</v>
      </c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  <c r="BD478" s="103"/>
      <c r="BE478" s="103"/>
    </row>
    <row r="479" spans="1:57" x14ac:dyDescent="0.25">
      <c r="A479" s="7" t="s">
        <v>8</v>
      </c>
      <c r="B479" s="142" t="s">
        <v>2890</v>
      </c>
      <c r="C479" s="23" t="s">
        <v>741</v>
      </c>
      <c r="D479" s="24" t="s">
        <v>741</v>
      </c>
      <c r="E479" s="193">
        <v>63.695399999999999</v>
      </c>
      <c r="F479" s="193">
        <v>17.3475</v>
      </c>
      <c r="G479" s="43"/>
      <c r="H479" s="7" t="s">
        <v>150</v>
      </c>
      <c r="I479" s="7" t="s">
        <v>169</v>
      </c>
      <c r="J479" s="7" t="s">
        <v>169</v>
      </c>
      <c r="K479" s="7" t="s">
        <v>6</v>
      </c>
      <c r="L479" s="7" t="s">
        <v>2031</v>
      </c>
      <c r="M479" s="7" t="s">
        <v>2653</v>
      </c>
      <c r="N479" s="42" t="s">
        <v>1108</v>
      </c>
      <c r="O479" s="42" t="s">
        <v>160</v>
      </c>
      <c r="P479" s="42" t="s">
        <v>160</v>
      </c>
      <c r="Q479" s="44" t="s">
        <v>1202</v>
      </c>
      <c r="S479" s="19" t="s">
        <v>160</v>
      </c>
      <c r="T479" s="19" t="s">
        <v>160</v>
      </c>
      <c r="U479" s="42">
        <v>2</v>
      </c>
      <c r="V479" s="20" t="s">
        <v>160</v>
      </c>
      <c r="W479" s="20" t="s">
        <v>160</v>
      </c>
      <c r="X479" s="20" t="s">
        <v>160</v>
      </c>
      <c r="Y479" s="20" t="s">
        <v>160</v>
      </c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</row>
    <row r="480" spans="1:57" x14ac:dyDescent="0.25">
      <c r="A480" s="9" t="s">
        <v>706</v>
      </c>
      <c r="B480" s="140">
        <v>134</v>
      </c>
      <c r="C480" s="23" t="s">
        <v>741</v>
      </c>
      <c r="D480" s="88" t="s">
        <v>43</v>
      </c>
      <c r="E480" s="5">
        <f>63+41/60+44/3600</f>
        <v>63.695555555555551</v>
      </c>
      <c r="F480" s="5">
        <f>20+20/60+51/3600</f>
        <v>20.3475</v>
      </c>
      <c r="G480" s="43"/>
      <c r="H480" s="9" t="s">
        <v>150</v>
      </c>
      <c r="I480" s="7" t="s">
        <v>169</v>
      </c>
      <c r="J480" s="7" t="s">
        <v>169</v>
      </c>
      <c r="K480" s="9" t="s">
        <v>6</v>
      </c>
      <c r="L480" s="7" t="s">
        <v>2031</v>
      </c>
      <c r="M480" s="7" t="s">
        <v>2653</v>
      </c>
      <c r="N480" s="42" t="s">
        <v>1108</v>
      </c>
      <c r="O480" s="42" t="s">
        <v>160</v>
      </c>
      <c r="P480" s="42" t="s">
        <v>160</v>
      </c>
      <c r="Q480" s="44" t="s">
        <v>1202</v>
      </c>
      <c r="S480" s="19" t="s">
        <v>160</v>
      </c>
      <c r="T480" s="19" t="s">
        <v>160</v>
      </c>
      <c r="U480" s="19">
        <v>2</v>
      </c>
      <c r="V480" s="19" t="s">
        <v>160</v>
      </c>
      <c r="W480" s="19" t="s">
        <v>160</v>
      </c>
      <c r="X480" s="19" t="s">
        <v>160</v>
      </c>
      <c r="Y480" s="19" t="s">
        <v>160</v>
      </c>
      <c r="BB480" s="19"/>
      <c r="BC480" s="19"/>
      <c r="BD480" s="19"/>
      <c r="BE480" s="19"/>
    </row>
    <row r="481" spans="1:57" s="94" customFormat="1" x14ac:dyDescent="0.25">
      <c r="A481" s="98" t="s">
        <v>2773</v>
      </c>
      <c r="B481" s="135">
        <v>2107</v>
      </c>
      <c r="C481" s="98" t="s">
        <v>1274</v>
      </c>
      <c r="D481" s="98" t="s">
        <v>1243</v>
      </c>
      <c r="E481" s="189">
        <f>57+40/60+48/3600</f>
        <v>57.68</v>
      </c>
      <c r="F481" s="190">
        <f>11+38/60+24/3600</f>
        <v>11.639999999999999</v>
      </c>
      <c r="G481" s="101"/>
      <c r="H481" s="98" t="s">
        <v>150</v>
      </c>
      <c r="I481" s="98" t="s">
        <v>8</v>
      </c>
      <c r="J481" s="102" t="s">
        <v>8</v>
      </c>
      <c r="K481" s="98" t="s">
        <v>6</v>
      </c>
      <c r="L481" s="102" t="s">
        <v>2030</v>
      </c>
      <c r="M481" s="102" t="s">
        <v>717</v>
      </c>
      <c r="N481" s="104" t="s">
        <v>1305</v>
      </c>
      <c r="O481" s="104"/>
      <c r="P481" s="104"/>
      <c r="Q481" s="103" t="s">
        <v>1651</v>
      </c>
      <c r="R481" s="103"/>
      <c r="S481" s="103"/>
      <c r="T481" s="103"/>
      <c r="U481" s="104">
        <v>4</v>
      </c>
      <c r="V481" s="103" t="s">
        <v>160</v>
      </c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  <c r="BD481" s="103"/>
      <c r="BE481" s="103"/>
    </row>
    <row r="482" spans="1:57" x14ac:dyDescent="0.25">
      <c r="A482" s="10" t="s">
        <v>8</v>
      </c>
      <c r="B482" s="155">
        <v>2107</v>
      </c>
      <c r="C482" s="10" t="s">
        <v>1274</v>
      </c>
      <c r="D482" s="10" t="s">
        <v>1243</v>
      </c>
      <c r="E482" s="195">
        <v>57.68</v>
      </c>
      <c r="F482" s="195">
        <v>11.64</v>
      </c>
      <c r="G482" s="30"/>
      <c r="H482" s="10" t="s">
        <v>150</v>
      </c>
      <c r="I482" s="10" t="s">
        <v>8</v>
      </c>
      <c r="J482" s="24" t="s">
        <v>8</v>
      </c>
      <c r="K482" s="10" t="s">
        <v>6</v>
      </c>
      <c r="L482" s="24" t="s">
        <v>2030</v>
      </c>
      <c r="M482" s="24" t="s">
        <v>717</v>
      </c>
      <c r="N482" s="22" t="s">
        <v>1305</v>
      </c>
      <c r="O482" s="22"/>
      <c r="P482" s="22"/>
      <c r="Q482" s="20" t="s">
        <v>1651</v>
      </c>
      <c r="R482" s="20"/>
      <c r="S482" s="20"/>
      <c r="T482" s="20"/>
      <c r="U482" s="22">
        <v>4</v>
      </c>
      <c r="V482" s="20" t="s">
        <v>160</v>
      </c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</row>
    <row r="483" spans="1:57" x14ac:dyDescent="0.25">
      <c r="A483" s="6" t="s">
        <v>8</v>
      </c>
      <c r="B483" s="9">
        <v>117440</v>
      </c>
      <c r="C483" s="9" t="s">
        <v>2399</v>
      </c>
      <c r="D483" s="9" t="s">
        <v>1421</v>
      </c>
      <c r="E483" s="3">
        <v>61.715200000000003</v>
      </c>
      <c r="F483" s="3">
        <v>17.082899999999999</v>
      </c>
      <c r="G483" s="9">
        <v>12</v>
      </c>
      <c r="H483" s="3" t="s">
        <v>150</v>
      </c>
      <c r="I483" s="6" t="s">
        <v>8</v>
      </c>
      <c r="J483" s="21" t="s">
        <v>8</v>
      </c>
      <c r="K483" s="3" t="s">
        <v>5</v>
      </c>
      <c r="L483" s="5" t="s">
        <v>2028</v>
      </c>
      <c r="M483" s="5" t="s">
        <v>717</v>
      </c>
      <c r="N483" s="19" t="s">
        <v>2310</v>
      </c>
      <c r="O483" s="22"/>
      <c r="P483" s="19" t="s">
        <v>160</v>
      </c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19" t="s">
        <v>160</v>
      </c>
      <c r="AU483" s="19" t="s">
        <v>160</v>
      </c>
      <c r="BB483" s="19"/>
      <c r="BC483" s="19"/>
      <c r="BD483" s="19"/>
      <c r="BE483" s="19"/>
    </row>
    <row r="484" spans="1:57" x14ac:dyDescent="0.25">
      <c r="A484" s="6" t="s">
        <v>8</v>
      </c>
      <c r="B484" s="9">
        <v>98290</v>
      </c>
      <c r="C484" s="9" t="s">
        <v>2400</v>
      </c>
      <c r="D484" s="9" t="s">
        <v>1422</v>
      </c>
      <c r="E484" s="3">
        <v>59.505200000000002</v>
      </c>
      <c r="F484" s="3">
        <v>18.841699999999999</v>
      </c>
      <c r="G484" s="9">
        <v>10</v>
      </c>
      <c r="H484" s="9" t="s">
        <v>150</v>
      </c>
      <c r="I484" s="6" t="s">
        <v>8</v>
      </c>
      <c r="J484" s="21" t="s">
        <v>8</v>
      </c>
      <c r="K484" s="3" t="s">
        <v>5</v>
      </c>
      <c r="L484" s="5" t="s">
        <v>2680</v>
      </c>
      <c r="M484" s="7" t="s">
        <v>717</v>
      </c>
      <c r="N484" s="19" t="s">
        <v>2488</v>
      </c>
      <c r="O484" s="22"/>
      <c r="P484" s="19" t="s">
        <v>160</v>
      </c>
      <c r="AR484" s="19" t="s">
        <v>160</v>
      </c>
      <c r="AT484" s="19" t="s">
        <v>160</v>
      </c>
      <c r="AV484" s="19" t="s">
        <v>160</v>
      </c>
      <c r="AX484" s="19" t="s">
        <v>160</v>
      </c>
      <c r="AZ484" s="19" t="s">
        <v>160</v>
      </c>
      <c r="BB484" s="19"/>
      <c r="BC484" s="19"/>
      <c r="BD484" s="19"/>
      <c r="BE484" s="19"/>
    </row>
    <row r="485" spans="1:57" s="94" customFormat="1" x14ac:dyDescent="0.25">
      <c r="A485" s="9" t="s">
        <v>707</v>
      </c>
      <c r="B485" s="39" t="s">
        <v>321</v>
      </c>
      <c r="C485" s="39" t="s">
        <v>899</v>
      </c>
      <c r="D485" s="40" t="s">
        <v>322</v>
      </c>
      <c r="E485" s="46" t="s">
        <v>324</v>
      </c>
      <c r="F485" s="46" t="s">
        <v>323</v>
      </c>
      <c r="G485" s="40"/>
      <c r="H485" s="9" t="s">
        <v>150</v>
      </c>
      <c r="I485" s="41" t="s">
        <v>325</v>
      </c>
      <c r="J485" s="7" t="s">
        <v>169</v>
      </c>
      <c r="K485" s="40" t="s">
        <v>5</v>
      </c>
      <c r="L485" s="41" t="s">
        <v>2043</v>
      </c>
      <c r="M485" s="7" t="s">
        <v>2653</v>
      </c>
      <c r="N485" s="19"/>
      <c r="O485" s="19"/>
      <c r="P485" s="19"/>
      <c r="Q485" s="19"/>
      <c r="R485" s="19"/>
      <c r="S485" s="19"/>
      <c r="T485" s="19"/>
      <c r="U485" s="19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  <c r="AR485" s="42" t="s">
        <v>160</v>
      </c>
      <c r="AS485" s="42" t="s">
        <v>160</v>
      </c>
      <c r="AT485" s="19"/>
      <c r="AU485" s="19"/>
      <c r="AV485" s="19"/>
      <c r="AW485" s="19"/>
      <c r="AX485" s="19"/>
      <c r="AY485" s="19"/>
      <c r="AZ485" s="42"/>
      <c r="BA485" s="42"/>
      <c r="BB485" s="42"/>
      <c r="BC485" s="42"/>
      <c r="BD485" s="42"/>
      <c r="BE485" s="42"/>
    </row>
    <row r="486" spans="1:57" x14ac:dyDescent="0.25">
      <c r="A486" s="94" t="s">
        <v>2773</v>
      </c>
      <c r="B486" s="109" t="s">
        <v>2970</v>
      </c>
      <c r="C486" s="109" t="s">
        <v>899</v>
      </c>
      <c r="D486" s="163" t="s">
        <v>44</v>
      </c>
      <c r="E486" s="120">
        <f>63+19/60+7/3600</f>
        <v>63.318611111111117</v>
      </c>
      <c r="F486" s="120">
        <f>19+9/60+22/3600</f>
        <v>19.156111111111109</v>
      </c>
      <c r="G486" s="82"/>
      <c r="H486" s="94" t="s">
        <v>150</v>
      </c>
      <c r="I486" s="105" t="s">
        <v>169</v>
      </c>
      <c r="J486" s="105" t="s">
        <v>169</v>
      </c>
      <c r="K486" s="94" t="s">
        <v>5</v>
      </c>
      <c r="L486" s="105" t="s">
        <v>2043</v>
      </c>
      <c r="M486" s="105" t="s">
        <v>2653</v>
      </c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  <c r="AA486" s="108"/>
      <c r="AB486" s="108"/>
      <c r="AC486" s="108"/>
      <c r="AD486" s="108"/>
      <c r="AE486" s="108"/>
      <c r="AF486" s="108"/>
      <c r="AG486" s="108"/>
      <c r="AH486" s="108"/>
      <c r="AI486" s="108"/>
      <c r="AJ486" s="108"/>
      <c r="AK486" s="108"/>
      <c r="AL486" s="108"/>
      <c r="AM486" s="108"/>
      <c r="AN486" s="108"/>
      <c r="AO486" s="108"/>
      <c r="AP486" s="108"/>
      <c r="AQ486" s="108"/>
      <c r="AR486" s="108" t="s">
        <v>160</v>
      </c>
      <c r="AS486" s="108" t="s">
        <v>160</v>
      </c>
      <c r="AT486" s="108"/>
      <c r="AU486" s="108"/>
      <c r="AV486" s="108"/>
      <c r="AW486" s="108"/>
      <c r="AX486" s="108"/>
      <c r="AY486" s="108"/>
      <c r="AZ486" s="108"/>
      <c r="BA486" s="108"/>
      <c r="BB486" s="108"/>
      <c r="BC486" s="108"/>
      <c r="BD486" s="108"/>
      <c r="BE486" s="108"/>
    </row>
    <row r="487" spans="1:57" x14ac:dyDescent="0.25">
      <c r="A487" s="32" t="s">
        <v>8</v>
      </c>
      <c r="B487" s="33" t="s">
        <v>875</v>
      </c>
      <c r="C487" s="33" t="s">
        <v>899</v>
      </c>
      <c r="D487" s="33" t="s">
        <v>899</v>
      </c>
      <c r="E487" s="35"/>
      <c r="F487" s="35"/>
      <c r="G487" s="33"/>
      <c r="H487" s="33" t="s">
        <v>150</v>
      </c>
      <c r="I487" s="41" t="s">
        <v>325</v>
      </c>
      <c r="J487" s="32" t="s">
        <v>169</v>
      </c>
      <c r="K487" s="35" t="s">
        <v>5</v>
      </c>
      <c r="L487" s="35" t="s">
        <v>2043</v>
      </c>
      <c r="M487" s="33" t="s">
        <v>2653</v>
      </c>
      <c r="N487" s="37"/>
      <c r="O487" s="6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37"/>
      <c r="AP487" s="37"/>
      <c r="AQ487" s="37"/>
      <c r="AR487" s="37" t="s">
        <v>160</v>
      </c>
      <c r="AS487" s="37" t="s">
        <v>160</v>
      </c>
      <c r="AT487" s="37"/>
      <c r="AU487" s="37"/>
      <c r="AV487" s="37"/>
      <c r="AW487" s="37"/>
      <c r="AX487" s="37"/>
      <c r="AY487" s="37"/>
      <c r="AZ487" s="37"/>
      <c r="BA487" s="37"/>
      <c r="BB487" s="37"/>
      <c r="BC487" s="37"/>
      <c r="BD487" s="37"/>
      <c r="BE487" s="37"/>
    </row>
    <row r="488" spans="1:57" x14ac:dyDescent="0.25">
      <c r="A488" s="9" t="s">
        <v>706</v>
      </c>
      <c r="B488" s="38">
        <v>174</v>
      </c>
      <c r="C488" s="38" t="s">
        <v>899</v>
      </c>
      <c r="D488" s="88" t="s">
        <v>44</v>
      </c>
      <c r="E488" s="3">
        <f>63+19/60+7/3600</f>
        <v>63.318611111111117</v>
      </c>
      <c r="F488" s="3">
        <f>19+9/60+22/3600</f>
        <v>19.156111111111109</v>
      </c>
      <c r="H488" s="9" t="s">
        <v>150</v>
      </c>
      <c r="I488" s="7" t="s">
        <v>169</v>
      </c>
      <c r="J488" s="7" t="s">
        <v>169</v>
      </c>
      <c r="K488" s="9" t="s">
        <v>5</v>
      </c>
      <c r="L488" s="7" t="s">
        <v>2043</v>
      </c>
      <c r="M488" s="7" t="s">
        <v>2653</v>
      </c>
      <c r="AR488" s="19" t="s">
        <v>160</v>
      </c>
      <c r="AS488" s="19" t="s">
        <v>160</v>
      </c>
      <c r="BB488" s="19"/>
      <c r="BC488" s="19"/>
      <c r="BD488" s="19"/>
      <c r="BE488" s="19"/>
    </row>
    <row r="489" spans="1:57" x14ac:dyDescent="0.25">
      <c r="A489" s="6" t="s">
        <v>8</v>
      </c>
      <c r="B489" s="9">
        <v>88590</v>
      </c>
      <c r="C489" s="9" t="s">
        <v>2374</v>
      </c>
      <c r="D489" s="9" t="s">
        <v>1423</v>
      </c>
      <c r="E489" s="3">
        <v>58.963900000000002</v>
      </c>
      <c r="F489" s="3">
        <v>18.570799999999998</v>
      </c>
      <c r="G489" s="9">
        <v>5</v>
      </c>
      <c r="H489" s="9" t="s">
        <v>150</v>
      </c>
      <c r="I489" s="6" t="s">
        <v>8</v>
      </c>
      <c r="J489" s="21" t="s">
        <v>8</v>
      </c>
      <c r="K489" s="3" t="s">
        <v>5</v>
      </c>
      <c r="L489" s="5" t="s">
        <v>2680</v>
      </c>
      <c r="M489" s="7" t="s">
        <v>717</v>
      </c>
      <c r="N489" s="19" t="s">
        <v>2489</v>
      </c>
      <c r="O489" s="22"/>
      <c r="P489" s="19" t="s">
        <v>160</v>
      </c>
      <c r="AR489" s="19" t="s">
        <v>160</v>
      </c>
      <c r="AT489" s="19" t="s">
        <v>160</v>
      </c>
      <c r="AV489" s="19" t="s">
        <v>160</v>
      </c>
      <c r="AX489" s="19" t="s">
        <v>160</v>
      </c>
      <c r="AZ489" s="19" t="s">
        <v>160</v>
      </c>
      <c r="BB489" s="19"/>
      <c r="BC489" s="19"/>
      <c r="BD489" s="19"/>
      <c r="BE489" s="19"/>
    </row>
    <row r="490" spans="1:57" s="94" customFormat="1" x14ac:dyDescent="0.25">
      <c r="A490" s="9" t="s">
        <v>707</v>
      </c>
      <c r="B490" s="39" t="s">
        <v>326</v>
      </c>
      <c r="C490" s="39" t="s">
        <v>901</v>
      </c>
      <c r="D490" s="40" t="s">
        <v>327</v>
      </c>
      <c r="E490" s="46" t="s">
        <v>329</v>
      </c>
      <c r="F490" s="46" t="s">
        <v>328</v>
      </c>
      <c r="G490" s="40"/>
      <c r="H490" s="9" t="s">
        <v>150</v>
      </c>
      <c r="I490" s="7" t="s">
        <v>987</v>
      </c>
      <c r="J490" s="21" t="s">
        <v>8</v>
      </c>
      <c r="K490" s="40" t="s">
        <v>951</v>
      </c>
      <c r="L490" s="7" t="s">
        <v>2691</v>
      </c>
      <c r="M490" s="7" t="s">
        <v>2653</v>
      </c>
      <c r="N490" s="19" t="s">
        <v>1360</v>
      </c>
      <c r="O490" s="19"/>
      <c r="P490" s="19" t="s">
        <v>160</v>
      </c>
      <c r="Q490" s="19"/>
      <c r="R490" s="19"/>
      <c r="S490" s="19" t="s">
        <v>160</v>
      </c>
      <c r="T490" s="19" t="s">
        <v>160</v>
      </c>
      <c r="U490" s="19"/>
      <c r="V490" s="42"/>
      <c r="W490" s="42"/>
      <c r="X490" s="19" t="s">
        <v>160</v>
      </c>
      <c r="Y490" s="19" t="s">
        <v>160</v>
      </c>
      <c r="Z490" s="19" t="s">
        <v>160</v>
      </c>
      <c r="AA490" s="19" t="s">
        <v>160</v>
      </c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 t="s">
        <v>160</v>
      </c>
      <c r="AM490" s="19"/>
      <c r="AN490" s="19" t="s">
        <v>160</v>
      </c>
      <c r="AO490" s="19" t="s">
        <v>160</v>
      </c>
      <c r="AP490" s="19"/>
      <c r="AQ490" s="19"/>
      <c r="AR490" s="19" t="s">
        <v>160</v>
      </c>
      <c r="AS490" s="19" t="s">
        <v>160</v>
      </c>
      <c r="AT490" s="19" t="s">
        <v>160</v>
      </c>
      <c r="AU490" s="19" t="s">
        <v>160</v>
      </c>
      <c r="AV490" s="19" t="s">
        <v>160</v>
      </c>
      <c r="AW490" s="19" t="s">
        <v>160</v>
      </c>
      <c r="AX490" s="19"/>
      <c r="AY490" s="19"/>
      <c r="AZ490" s="42"/>
      <c r="BA490" s="42"/>
      <c r="BB490" s="42"/>
      <c r="BC490" s="42"/>
      <c r="BD490" s="42"/>
      <c r="BE490" s="42"/>
    </row>
    <row r="491" spans="1:57" x14ac:dyDescent="0.25">
      <c r="A491" s="94" t="s">
        <v>2773</v>
      </c>
      <c r="B491" s="109" t="s">
        <v>2969</v>
      </c>
      <c r="C491" s="109" t="s">
        <v>901</v>
      </c>
      <c r="D491" s="153" t="s">
        <v>939</v>
      </c>
      <c r="E491" s="84">
        <f>58+56/60</f>
        <v>58.93333333333333</v>
      </c>
      <c r="F491" s="84">
        <f>19+10/60</f>
        <v>19.166666666666668</v>
      </c>
      <c r="G491" s="110">
        <v>3</v>
      </c>
      <c r="H491" s="94" t="s">
        <v>150</v>
      </c>
      <c r="I491" s="105" t="s">
        <v>987</v>
      </c>
      <c r="J491" s="122" t="s">
        <v>8</v>
      </c>
      <c r="K491" s="94" t="s">
        <v>951</v>
      </c>
      <c r="L491" s="105" t="s">
        <v>2691</v>
      </c>
      <c r="M491" s="105" t="s">
        <v>2653</v>
      </c>
      <c r="N491" s="108" t="s">
        <v>1360</v>
      </c>
      <c r="O491" s="108"/>
      <c r="P491" s="108" t="s">
        <v>160</v>
      </c>
      <c r="Q491" s="108"/>
      <c r="R491" s="108"/>
      <c r="S491" s="108" t="s">
        <v>160</v>
      </c>
      <c r="T491" s="108" t="s">
        <v>160</v>
      </c>
      <c r="U491" s="108"/>
      <c r="V491" s="108"/>
      <c r="W491" s="108"/>
      <c r="X491" s="108" t="s">
        <v>160</v>
      </c>
      <c r="Y491" s="108" t="s">
        <v>160</v>
      </c>
      <c r="Z491" s="108" t="s">
        <v>160</v>
      </c>
      <c r="AA491" s="108" t="s">
        <v>160</v>
      </c>
      <c r="AB491" s="108"/>
      <c r="AC491" s="108"/>
      <c r="AD491" s="108"/>
      <c r="AE491" s="108"/>
      <c r="AF491" s="108"/>
      <c r="AG491" s="108"/>
      <c r="AH491" s="108"/>
      <c r="AI491" s="108"/>
      <c r="AJ491" s="108"/>
      <c r="AK491" s="108"/>
      <c r="AL491" s="108" t="s">
        <v>160</v>
      </c>
      <c r="AM491" s="108"/>
      <c r="AN491" s="108" t="s">
        <v>160</v>
      </c>
      <c r="AO491" s="108" t="s">
        <v>160</v>
      </c>
      <c r="AP491" s="108"/>
      <c r="AQ491" s="108"/>
      <c r="AR491" s="108" t="s">
        <v>160</v>
      </c>
      <c r="AS491" s="108" t="s">
        <v>160</v>
      </c>
      <c r="AT491" s="108" t="s">
        <v>160</v>
      </c>
      <c r="AU491" s="108" t="s">
        <v>160</v>
      </c>
      <c r="AV491" s="108" t="s">
        <v>160</v>
      </c>
      <c r="AW491" s="108" t="s">
        <v>160</v>
      </c>
      <c r="AX491" s="108"/>
      <c r="AY491" s="108"/>
      <c r="AZ491" s="108"/>
      <c r="BA491" s="108"/>
      <c r="BB491" s="108"/>
      <c r="BC491" s="108"/>
      <c r="BD491" s="108"/>
      <c r="BE491" s="108"/>
    </row>
    <row r="492" spans="1:57" x14ac:dyDescent="0.25">
      <c r="A492" s="9" t="s">
        <v>8</v>
      </c>
      <c r="B492" s="38">
        <v>33002</v>
      </c>
      <c r="C492" s="38" t="s">
        <v>901</v>
      </c>
      <c r="D492" t="s">
        <v>939</v>
      </c>
      <c r="E492" s="25">
        <f>58+56/60</f>
        <v>58.93333333333333</v>
      </c>
      <c r="F492" s="25">
        <f>19+10/60</f>
        <v>19.166666666666668</v>
      </c>
      <c r="G492" s="23">
        <v>3</v>
      </c>
      <c r="H492" s="9" t="s">
        <v>150</v>
      </c>
      <c r="I492" s="7" t="s">
        <v>987</v>
      </c>
      <c r="J492" s="21" t="s">
        <v>8</v>
      </c>
      <c r="K492" s="9" t="s">
        <v>951</v>
      </c>
      <c r="L492" s="7" t="s">
        <v>2691</v>
      </c>
      <c r="M492" s="7" t="s">
        <v>2653</v>
      </c>
      <c r="N492" s="19" t="s">
        <v>1360</v>
      </c>
      <c r="P492" s="19" t="s">
        <v>160</v>
      </c>
      <c r="S492" s="19" t="s">
        <v>160</v>
      </c>
      <c r="T492" s="19" t="s">
        <v>160</v>
      </c>
      <c r="X492" s="19" t="s">
        <v>160</v>
      </c>
      <c r="Y492" s="19" t="s">
        <v>160</v>
      </c>
      <c r="Z492" s="19" t="s">
        <v>160</v>
      </c>
      <c r="AA492" s="19" t="s">
        <v>160</v>
      </c>
      <c r="AL492" s="19" t="s">
        <v>160</v>
      </c>
      <c r="AN492" s="19" t="s">
        <v>160</v>
      </c>
      <c r="AO492" s="19" t="s">
        <v>160</v>
      </c>
      <c r="AR492" s="19" t="s">
        <v>160</v>
      </c>
      <c r="AS492" s="19" t="s">
        <v>160</v>
      </c>
      <c r="AT492" s="19" t="s">
        <v>160</v>
      </c>
      <c r="AU492" s="19" t="s">
        <v>160</v>
      </c>
      <c r="AV492" s="19" t="s">
        <v>160</v>
      </c>
      <c r="AW492" s="19" t="s">
        <v>160</v>
      </c>
      <c r="BB492" s="19"/>
      <c r="BC492" s="19"/>
      <c r="BD492" s="19"/>
      <c r="BE492" s="19"/>
    </row>
    <row r="493" spans="1:57" x14ac:dyDescent="0.25">
      <c r="A493" s="9" t="s">
        <v>706</v>
      </c>
      <c r="B493" s="38">
        <v>150</v>
      </c>
      <c r="C493" s="39" t="s">
        <v>901</v>
      </c>
      <c r="D493" s="62" t="s">
        <v>45</v>
      </c>
      <c r="E493" s="3">
        <f>58+56/60+9/3600</f>
        <v>58.935833333333328</v>
      </c>
      <c r="F493" s="3">
        <f>19+9/60+33/3600</f>
        <v>19.159166666666664</v>
      </c>
      <c r="G493" s="25"/>
      <c r="H493" s="9" t="s">
        <v>150</v>
      </c>
      <c r="I493" s="7" t="s">
        <v>987</v>
      </c>
      <c r="J493" s="21" t="s">
        <v>8</v>
      </c>
      <c r="K493" s="9" t="s">
        <v>951</v>
      </c>
      <c r="L493" s="7" t="s">
        <v>2738</v>
      </c>
      <c r="M493" s="7" t="s">
        <v>2653</v>
      </c>
      <c r="N493" s="19" t="s">
        <v>1360</v>
      </c>
      <c r="P493" s="19" t="s">
        <v>160</v>
      </c>
      <c r="S493" s="19" t="s">
        <v>160</v>
      </c>
      <c r="T493" s="19" t="s">
        <v>160</v>
      </c>
      <c r="X493" s="19" t="s">
        <v>160</v>
      </c>
      <c r="Y493" s="19" t="s">
        <v>160</v>
      </c>
      <c r="Z493" s="19" t="s">
        <v>160</v>
      </c>
      <c r="AA493" s="19" t="s">
        <v>160</v>
      </c>
      <c r="AL493" s="19" t="s">
        <v>160</v>
      </c>
      <c r="AN493" s="19" t="s">
        <v>160</v>
      </c>
      <c r="AO493" s="19" t="s">
        <v>160</v>
      </c>
      <c r="AR493" s="19" t="s">
        <v>160</v>
      </c>
      <c r="AS493" s="19" t="s">
        <v>160</v>
      </c>
      <c r="AT493" s="19" t="s">
        <v>160</v>
      </c>
      <c r="AU493" s="19" t="s">
        <v>160</v>
      </c>
      <c r="AV493" s="19" t="s">
        <v>160</v>
      </c>
      <c r="AW493" s="19" t="s">
        <v>160</v>
      </c>
      <c r="BB493" s="19"/>
      <c r="BC493" s="19"/>
      <c r="BD493" s="19"/>
      <c r="BE493" s="19"/>
    </row>
    <row r="494" spans="1:57" x14ac:dyDescent="0.25">
      <c r="A494" s="6" t="s">
        <v>8</v>
      </c>
      <c r="B494" s="9">
        <v>89560</v>
      </c>
      <c r="C494" s="9" t="s">
        <v>1424</v>
      </c>
      <c r="D494" s="9" t="s">
        <v>1425</v>
      </c>
      <c r="E494" s="3">
        <f>58+56/60+0.24/3600</f>
        <v>58.933399999999999</v>
      </c>
      <c r="F494" s="3">
        <f>19+10/60+59.88/3600</f>
        <v>19.183300000000003</v>
      </c>
      <c r="G494" s="9">
        <v>4</v>
      </c>
      <c r="H494" s="9" t="s">
        <v>150</v>
      </c>
      <c r="I494" s="6" t="s">
        <v>8</v>
      </c>
      <c r="J494" s="21" t="s">
        <v>8</v>
      </c>
      <c r="K494" s="3" t="s">
        <v>5</v>
      </c>
      <c r="L494" s="5" t="s">
        <v>2692</v>
      </c>
      <c r="M494" s="7" t="s">
        <v>717</v>
      </c>
      <c r="N494" s="19" t="s">
        <v>2490</v>
      </c>
      <c r="O494" s="22"/>
      <c r="P494" s="19" t="s">
        <v>160</v>
      </c>
      <c r="AR494" s="19" t="s">
        <v>160</v>
      </c>
      <c r="AT494" s="19" t="s">
        <v>160</v>
      </c>
      <c r="AV494" s="19" t="s">
        <v>160</v>
      </c>
      <c r="BB494" s="19"/>
      <c r="BC494" s="19"/>
      <c r="BD494" s="19"/>
      <c r="BE494" s="19"/>
    </row>
    <row r="495" spans="1:57" x14ac:dyDescent="0.25">
      <c r="A495" s="9" t="s">
        <v>8</v>
      </c>
      <c r="B495" s="26">
        <v>33012</v>
      </c>
      <c r="C495" s="24" t="s">
        <v>990</v>
      </c>
      <c r="D495" t="s">
        <v>991</v>
      </c>
      <c r="E495" s="3">
        <f>58+56/60</f>
        <v>58.93333333333333</v>
      </c>
      <c r="F495" s="3">
        <f>19+10/60</f>
        <v>19.166666666666668</v>
      </c>
      <c r="H495" s="9" t="s">
        <v>150</v>
      </c>
      <c r="I495" s="7" t="s">
        <v>8</v>
      </c>
      <c r="J495" s="7" t="s">
        <v>8</v>
      </c>
      <c r="K495" s="9" t="s">
        <v>951</v>
      </c>
      <c r="L495" s="7" t="s">
        <v>2050</v>
      </c>
      <c r="M495" s="7" t="s">
        <v>717</v>
      </c>
      <c r="N495" s="19">
        <v>2007</v>
      </c>
      <c r="O495" s="22"/>
      <c r="P495" s="19" t="s">
        <v>160</v>
      </c>
      <c r="S495" s="19" t="s">
        <v>160</v>
      </c>
      <c r="T495" s="19" t="s">
        <v>160</v>
      </c>
      <c r="X495" s="19" t="s">
        <v>160</v>
      </c>
      <c r="AN495" s="19" t="s">
        <v>160</v>
      </c>
      <c r="BB495" s="19"/>
      <c r="BC495" s="19"/>
      <c r="BD495" s="19"/>
      <c r="BE495" s="19"/>
    </row>
    <row r="496" spans="1:57" x14ac:dyDescent="0.25">
      <c r="A496" s="9" t="s">
        <v>8</v>
      </c>
      <c r="B496" s="27">
        <v>37238</v>
      </c>
      <c r="C496" s="28" t="s">
        <v>1927</v>
      </c>
      <c r="D496" s="28" t="s">
        <v>1747</v>
      </c>
      <c r="E496" s="25">
        <v>59.633299999999998</v>
      </c>
      <c r="F496" s="25">
        <v>20</v>
      </c>
      <c r="H496" s="9" t="s">
        <v>150</v>
      </c>
      <c r="I496" s="7" t="s">
        <v>8</v>
      </c>
      <c r="J496" s="7" t="s">
        <v>8</v>
      </c>
      <c r="K496" s="6" t="s">
        <v>2455</v>
      </c>
      <c r="L496" s="7" t="s">
        <v>2027</v>
      </c>
      <c r="M496" s="28" t="s">
        <v>717</v>
      </c>
      <c r="N496" s="19">
        <v>1994</v>
      </c>
      <c r="O496" s="22"/>
      <c r="T496" s="7"/>
      <c r="X496" s="19" t="s">
        <v>160</v>
      </c>
      <c r="BA496" s="7"/>
      <c r="BB496" s="7"/>
      <c r="BC496" s="7"/>
      <c r="BD496" s="7"/>
      <c r="BE496" s="7"/>
    </row>
    <row r="497" spans="1:57" x14ac:dyDescent="0.25">
      <c r="A497" s="9" t="s">
        <v>8</v>
      </c>
      <c r="B497" s="27">
        <v>37239</v>
      </c>
      <c r="C497" s="28" t="s">
        <v>1928</v>
      </c>
      <c r="D497" s="28" t="s">
        <v>1748</v>
      </c>
      <c r="E497" s="25">
        <v>59.75</v>
      </c>
      <c r="F497" s="25">
        <v>21.416699999999999</v>
      </c>
      <c r="H497" s="9" t="s">
        <v>150</v>
      </c>
      <c r="I497" s="7" t="s">
        <v>8</v>
      </c>
      <c r="J497" s="7" t="s">
        <v>8</v>
      </c>
      <c r="K497" s="6" t="s">
        <v>2455</v>
      </c>
      <c r="L497" s="7" t="s">
        <v>2027</v>
      </c>
      <c r="M497" s="28" t="s">
        <v>717</v>
      </c>
      <c r="O497" s="22"/>
      <c r="T497" s="7"/>
      <c r="X497" s="19" t="s">
        <v>160</v>
      </c>
      <c r="BA497" s="7"/>
      <c r="BB497" s="7"/>
      <c r="BC497" s="7"/>
      <c r="BD497" s="7"/>
      <c r="BE497" s="7"/>
    </row>
    <row r="498" spans="1:57" x14ac:dyDescent="0.25">
      <c r="A498" s="9" t="s">
        <v>8</v>
      </c>
      <c r="B498" s="27">
        <v>37218</v>
      </c>
      <c r="C498" s="28" t="s">
        <v>2436</v>
      </c>
      <c r="D498" s="28" t="s">
        <v>1738</v>
      </c>
      <c r="E498" s="25">
        <v>57.683300000000003</v>
      </c>
      <c r="F498" s="25">
        <v>16.899999999999999</v>
      </c>
      <c r="H498" s="9" t="s">
        <v>150</v>
      </c>
      <c r="I498" s="7" t="s">
        <v>8</v>
      </c>
      <c r="J498" s="7" t="s">
        <v>8</v>
      </c>
      <c r="K498" s="6" t="s">
        <v>2455</v>
      </c>
      <c r="L498" s="7" t="s">
        <v>2027</v>
      </c>
      <c r="M498" s="28" t="s">
        <v>717</v>
      </c>
      <c r="N498" s="19" t="s">
        <v>1843</v>
      </c>
      <c r="O498" s="22"/>
      <c r="T498" s="7"/>
      <c r="X498" s="19" t="s">
        <v>160</v>
      </c>
      <c r="BA498" s="7"/>
      <c r="BB498" s="7"/>
      <c r="BC498" s="7"/>
      <c r="BD498" s="7"/>
      <c r="BE498" s="7"/>
    </row>
    <row r="499" spans="1:57" x14ac:dyDescent="0.25">
      <c r="A499" s="53" t="s">
        <v>2763</v>
      </c>
      <c r="B499" s="138">
        <v>35158</v>
      </c>
      <c r="C499" s="53" t="s">
        <v>1210</v>
      </c>
      <c r="D499" s="53" t="s">
        <v>2750</v>
      </c>
      <c r="E499" s="35">
        <f>61+37/60+27.48/3600</f>
        <v>61.624299999999998</v>
      </c>
      <c r="F499" s="47">
        <f>17+7/60+43.68/3600</f>
        <v>17.128800000000002</v>
      </c>
      <c r="G499" s="53"/>
      <c r="H499" s="9" t="s">
        <v>150</v>
      </c>
      <c r="I499" s="53" t="s">
        <v>169</v>
      </c>
      <c r="J499" s="53" t="s">
        <v>169</v>
      </c>
      <c r="K499" s="10" t="s">
        <v>6</v>
      </c>
      <c r="L499" s="24" t="s">
        <v>2030</v>
      </c>
      <c r="M499" s="24" t="s">
        <v>717</v>
      </c>
      <c r="N499" s="22" t="s">
        <v>1284</v>
      </c>
      <c r="O499" s="22"/>
      <c r="P499" s="22"/>
      <c r="Q499" s="20" t="s">
        <v>1652</v>
      </c>
      <c r="R499" s="20"/>
      <c r="S499" s="20"/>
      <c r="T499" s="20"/>
      <c r="U499" s="22">
        <v>4</v>
      </c>
      <c r="V499" s="20" t="s">
        <v>160</v>
      </c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94" customFormat="1" x14ac:dyDescent="0.25">
      <c r="A500" s="87" t="s">
        <v>2773</v>
      </c>
      <c r="B500" s="141">
        <v>35158</v>
      </c>
      <c r="C500" s="87" t="s">
        <v>1210</v>
      </c>
      <c r="D500" s="87" t="s">
        <v>2750</v>
      </c>
      <c r="E500" s="190">
        <f>61+37/60+27.48/3600</f>
        <v>61.624299999999998</v>
      </c>
      <c r="F500" s="189">
        <f>17+7/60+43.68/3600</f>
        <v>17.128800000000002</v>
      </c>
      <c r="G500" s="87"/>
      <c r="H500" s="94" t="s">
        <v>150</v>
      </c>
      <c r="I500" s="87" t="s">
        <v>169</v>
      </c>
      <c r="J500" s="87" t="s">
        <v>169</v>
      </c>
      <c r="K500" s="98" t="s">
        <v>6</v>
      </c>
      <c r="L500" s="102" t="s">
        <v>2030</v>
      </c>
      <c r="M500" s="102" t="s">
        <v>717</v>
      </c>
      <c r="N500" s="104" t="s">
        <v>1284</v>
      </c>
      <c r="O500" s="104"/>
      <c r="P500" s="104"/>
      <c r="Q500" s="103" t="s">
        <v>1652</v>
      </c>
      <c r="R500" s="103"/>
      <c r="S500" s="103"/>
      <c r="T500" s="103"/>
      <c r="U500" s="104">
        <v>4</v>
      </c>
      <c r="V500" s="103" t="s">
        <v>160</v>
      </c>
      <c r="W500" s="87"/>
      <c r="X500" s="87"/>
      <c r="Y500" s="87"/>
      <c r="Z500" s="87"/>
      <c r="AA500" s="87"/>
      <c r="AB500" s="87"/>
      <c r="AC500" s="87"/>
      <c r="AD500" s="87"/>
      <c r="AE500" s="87"/>
      <c r="AF500" s="87"/>
      <c r="AG500" s="87"/>
      <c r="AH500" s="87"/>
      <c r="AI500" s="87"/>
      <c r="AJ500" s="87"/>
      <c r="AK500" s="87"/>
      <c r="AL500" s="87"/>
      <c r="AM500" s="87"/>
      <c r="AN500" s="87"/>
      <c r="AO500" s="87"/>
      <c r="AP500" s="87"/>
      <c r="AQ500" s="87"/>
      <c r="AR500" s="87"/>
      <c r="AS500" s="87"/>
      <c r="AT500" s="87"/>
      <c r="AU500" s="87"/>
      <c r="AV500" s="87"/>
      <c r="AW500" s="87"/>
      <c r="AX500" s="87"/>
      <c r="AY500" s="87"/>
      <c r="AZ500" s="87"/>
      <c r="BA500" s="87"/>
      <c r="BB500" s="87"/>
      <c r="BC500" s="87"/>
      <c r="BD500" s="87"/>
      <c r="BE500" s="87"/>
    </row>
    <row r="501" spans="1:57" x14ac:dyDescent="0.25">
      <c r="A501" s="53" t="s">
        <v>8</v>
      </c>
      <c r="B501" s="138">
        <v>35158</v>
      </c>
      <c r="C501" s="53" t="s">
        <v>1210</v>
      </c>
      <c r="D501" s="53" t="s">
        <v>2750</v>
      </c>
      <c r="E501" s="197">
        <f>61+37/60+27.48/3600</f>
        <v>61.624299999999998</v>
      </c>
      <c r="F501" s="198">
        <f>17+7/60+43.68/3600</f>
        <v>17.128800000000002</v>
      </c>
      <c r="G501" s="53"/>
      <c r="H501" s="9" t="s">
        <v>150</v>
      </c>
      <c r="I501" s="53" t="s">
        <v>169</v>
      </c>
      <c r="J501" s="53" t="s">
        <v>169</v>
      </c>
      <c r="K501" s="10" t="s">
        <v>6</v>
      </c>
      <c r="L501" s="24" t="s">
        <v>2030</v>
      </c>
      <c r="M501" s="24" t="s">
        <v>717</v>
      </c>
      <c r="N501" s="22" t="s">
        <v>1284</v>
      </c>
      <c r="O501" s="22"/>
      <c r="P501" s="22"/>
      <c r="Q501" s="20" t="s">
        <v>1652</v>
      </c>
      <c r="R501" s="20"/>
      <c r="S501" s="20"/>
      <c r="T501" s="20"/>
      <c r="U501" s="22">
        <v>4</v>
      </c>
      <c r="V501" s="20" t="s">
        <v>160</v>
      </c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94" customFormat="1" x14ac:dyDescent="0.25">
      <c r="A502" s="98" t="s">
        <v>2773</v>
      </c>
      <c r="B502" s="135">
        <v>2063</v>
      </c>
      <c r="C502" s="98" t="s">
        <v>2836</v>
      </c>
      <c r="D502" s="98" t="s">
        <v>1210</v>
      </c>
      <c r="E502" s="189">
        <f>61+38/60+24/3600</f>
        <v>61.64</v>
      </c>
      <c r="F502" s="189">
        <f>17+4/60+48/3600</f>
        <v>17.079999999999998</v>
      </c>
      <c r="G502" s="101"/>
      <c r="H502" s="98" t="s">
        <v>150</v>
      </c>
      <c r="I502" s="98" t="s">
        <v>8</v>
      </c>
      <c r="J502" s="102" t="s">
        <v>8</v>
      </c>
      <c r="K502" s="98" t="s">
        <v>6</v>
      </c>
      <c r="L502" s="102" t="s">
        <v>2030</v>
      </c>
      <c r="M502" s="102" t="s">
        <v>717</v>
      </c>
      <c r="N502" s="104" t="s">
        <v>1284</v>
      </c>
      <c r="O502" s="104"/>
      <c r="P502" s="104"/>
      <c r="Q502" s="103" t="s">
        <v>1652</v>
      </c>
      <c r="R502" s="103"/>
      <c r="S502" s="103"/>
      <c r="T502" s="103"/>
      <c r="U502" s="104">
        <v>4</v>
      </c>
      <c r="V502" s="103" t="s">
        <v>160</v>
      </c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  <c r="BD502" s="103"/>
      <c r="BE502" s="103"/>
    </row>
    <row r="503" spans="1:57" x14ac:dyDescent="0.25">
      <c r="A503" s="10" t="s">
        <v>8</v>
      </c>
      <c r="B503" s="155">
        <v>2063</v>
      </c>
      <c r="C503" s="10" t="s">
        <v>2836</v>
      </c>
      <c r="D503" s="10" t="s">
        <v>1210</v>
      </c>
      <c r="E503" s="195">
        <v>61.64</v>
      </c>
      <c r="F503" s="195">
        <v>17.079999999999998</v>
      </c>
      <c r="G503" s="30"/>
      <c r="H503" s="10" t="s">
        <v>150</v>
      </c>
      <c r="I503" s="10" t="s">
        <v>8</v>
      </c>
      <c r="J503" s="24" t="s">
        <v>8</v>
      </c>
      <c r="K503" s="10" t="s">
        <v>6</v>
      </c>
      <c r="L503" s="24" t="s">
        <v>2030</v>
      </c>
      <c r="M503" s="24" t="s">
        <v>717</v>
      </c>
      <c r="N503" s="22" t="s">
        <v>1284</v>
      </c>
      <c r="O503" s="22"/>
      <c r="P503" s="22"/>
      <c r="Q503" s="20" t="s">
        <v>1652</v>
      </c>
      <c r="R503" s="20"/>
      <c r="S503" s="20"/>
      <c r="T503" s="20"/>
      <c r="U503" s="22">
        <v>4</v>
      </c>
      <c r="V503" s="20" t="s">
        <v>160</v>
      </c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</row>
    <row r="504" spans="1:57" x14ac:dyDescent="0.25">
      <c r="A504" s="10" t="s">
        <v>8</v>
      </c>
      <c r="B504" s="27">
        <v>37271</v>
      </c>
      <c r="C504" s="28" t="s">
        <v>1772</v>
      </c>
      <c r="D504" s="28" t="s">
        <v>1772</v>
      </c>
      <c r="E504" s="25">
        <v>54.25</v>
      </c>
      <c r="F504" s="25">
        <v>14.2</v>
      </c>
      <c r="H504" s="10" t="s">
        <v>150</v>
      </c>
      <c r="I504" s="10" t="s">
        <v>8</v>
      </c>
      <c r="J504" s="24" t="s">
        <v>8</v>
      </c>
      <c r="K504" s="6" t="s">
        <v>2455</v>
      </c>
      <c r="L504" s="7" t="s">
        <v>2027</v>
      </c>
      <c r="M504" s="28" t="s">
        <v>717</v>
      </c>
      <c r="N504" s="19" t="s">
        <v>1852</v>
      </c>
      <c r="O504" s="22"/>
      <c r="T504" s="7"/>
      <c r="BA504" s="7"/>
      <c r="BB504" s="7"/>
      <c r="BC504" s="7"/>
      <c r="BD504" s="7"/>
      <c r="BE504" s="7"/>
    </row>
    <row r="505" spans="1:57" x14ac:dyDescent="0.25">
      <c r="A505" s="10" t="s">
        <v>8</v>
      </c>
      <c r="B505" s="27">
        <v>37272</v>
      </c>
      <c r="C505" s="28" t="s">
        <v>1773</v>
      </c>
      <c r="D505" s="28" t="s">
        <v>1773</v>
      </c>
      <c r="E505" s="25">
        <v>54.5</v>
      </c>
      <c r="F505" s="25">
        <v>14.1</v>
      </c>
      <c r="H505" s="10" t="s">
        <v>150</v>
      </c>
      <c r="I505" s="10" t="s">
        <v>8</v>
      </c>
      <c r="J505" s="24" t="s">
        <v>8</v>
      </c>
      <c r="K505" s="6" t="s">
        <v>2455</v>
      </c>
      <c r="L505" s="7" t="s">
        <v>2027</v>
      </c>
      <c r="M505" s="28" t="s">
        <v>717</v>
      </c>
      <c r="N505" s="19" t="s">
        <v>1853</v>
      </c>
      <c r="O505" s="22"/>
      <c r="T505" s="7"/>
      <c r="BA505" s="7"/>
      <c r="BB505" s="7"/>
      <c r="BC505" s="7"/>
      <c r="BD505" s="7"/>
      <c r="BE505" s="7"/>
    </row>
    <row r="506" spans="1:57" x14ac:dyDescent="0.25">
      <c r="A506" s="10" t="s">
        <v>8</v>
      </c>
      <c r="B506" s="27">
        <v>37273</v>
      </c>
      <c r="C506" s="28" t="s">
        <v>1774</v>
      </c>
      <c r="D506" s="28" t="s">
        <v>1774</v>
      </c>
      <c r="E506" s="25">
        <v>54.75</v>
      </c>
      <c r="F506" s="25">
        <v>14.0167</v>
      </c>
      <c r="H506" s="10" t="s">
        <v>150</v>
      </c>
      <c r="I506" s="10" t="s">
        <v>8</v>
      </c>
      <c r="J506" s="24" t="s">
        <v>8</v>
      </c>
      <c r="K506" s="6" t="s">
        <v>2455</v>
      </c>
      <c r="L506" s="7" t="s">
        <v>2027</v>
      </c>
      <c r="M506" s="28" t="s">
        <v>717</v>
      </c>
      <c r="N506" s="19" t="s">
        <v>1853</v>
      </c>
      <c r="O506" s="22"/>
      <c r="T506" s="7"/>
      <c r="X506" s="19" t="s">
        <v>160</v>
      </c>
      <c r="BA506" s="7"/>
      <c r="BB506" s="7"/>
      <c r="BC506" s="7"/>
      <c r="BD506" s="7"/>
      <c r="BE506" s="7"/>
    </row>
    <row r="507" spans="1:57" x14ac:dyDescent="0.25">
      <c r="A507" s="10" t="s">
        <v>8</v>
      </c>
      <c r="B507" s="27">
        <v>37274</v>
      </c>
      <c r="C507" s="28" t="s">
        <v>1775</v>
      </c>
      <c r="D507" s="28" t="s">
        <v>1775</v>
      </c>
      <c r="E507" s="25">
        <v>55</v>
      </c>
      <c r="F507" s="25">
        <v>13.916700000000001</v>
      </c>
      <c r="H507" s="10" t="s">
        <v>150</v>
      </c>
      <c r="I507" s="10" t="s">
        <v>8</v>
      </c>
      <c r="J507" s="24" t="s">
        <v>8</v>
      </c>
      <c r="K507" s="6" t="s">
        <v>2455</v>
      </c>
      <c r="L507" s="7" t="s">
        <v>2027</v>
      </c>
      <c r="M507" s="28" t="s">
        <v>717</v>
      </c>
      <c r="N507" s="19" t="s">
        <v>1349</v>
      </c>
      <c r="O507" s="22"/>
      <c r="T507" s="7"/>
      <c r="BA507" s="7"/>
      <c r="BB507" s="7"/>
      <c r="BC507" s="7"/>
      <c r="BD507" s="7"/>
      <c r="BE507" s="7"/>
    </row>
    <row r="508" spans="1:57" x14ac:dyDescent="0.25">
      <c r="A508" s="10" t="s">
        <v>8</v>
      </c>
      <c r="B508" s="27">
        <v>37275</v>
      </c>
      <c r="C508" s="28" t="s">
        <v>1776</v>
      </c>
      <c r="D508" s="28" t="s">
        <v>1776</v>
      </c>
      <c r="E508" s="25">
        <v>55.25</v>
      </c>
      <c r="F508" s="25">
        <v>13.833299999999999</v>
      </c>
      <c r="H508" s="10" t="s">
        <v>150</v>
      </c>
      <c r="I508" s="10" t="s">
        <v>8</v>
      </c>
      <c r="J508" s="24" t="s">
        <v>8</v>
      </c>
      <c r="K508" s="6" t="s">
        <v>2455</v>
      </c>
      <c r="L508" s="7" t="s">
        <v>2027</v>
      </c>
      <c r="M508" s="28" t="s">
        <v>717</v>
      </c>
      <c r="N508" s="19" t="s">
        <v>1349</v>
      </c>
      <c r="O508" s="22"/>
      <c r="T508" s="7"/>
      <c r="BA508" s="7"/>
      <c r="BB508" s="7"/>
      <c r="BC508" s="7"/>
      <c r="BD508" s="7"/>
      <c r="BE508" s="7"/>
    </row>
    <row r="509" spans="1:57" x14ac:dyDescent="0.25">
      <c r="A509" s="10" t="s">
        <v>8</v>
      </c>
      <c r="B509" s="27">
        <v>37122</v>
      </c>
      <c r="C509" s="28" t="s">
        <v>2437</v>
      </c>
      <c r="D509" s="28" t="s">
        <v>1719</v>
      </c>
      <c r="E509" s="25">
        <v>63.433300000000003</v>
      </c>
      <c r="F509" s="25">
        <v>19.683299999999999</v>
      </c>
      <c r="H509" s="10" t="s">
        <v>150</v>
      </c>
      <c r="I509" s="10" t="s">
        <v>8</v>
      </c>
      <c r="J509" s="24" t="s">
        <v>8</v>
      </c>
      <c r="K509" s="6" t="s">
        <v>2455</v>
      </c>
      <c r="L509" s="7" t="s">
        <v>2027</v>
      </c>
      <c r="M509" s="28" t="s">
        <v>717</v>
      </c>
      <c r="N509" s="19" t="s">
        <v>1816</v>
      </c>
      <c r="O509" s="22"/>
      <c r="T509" s="7"/>
      <c r="BA509" s="7"/>
      <c r="BB509" s="7"/>
      <c r="BC509" s="7"/>
      <c r="BD509" s="7"/>
      <c r="BE509" s="7"/>
    </row>
    <row r="510" spans="1:57" s="94" customFormat="1" x14ac:dyDescent="0.25">
      <c r="A510" s="32" t="s">
        <v>707</v>
      </c>
      <c r="B510" s="33"/>
      <c r="C510" s="33" t="s">
        <v>1426</v>
      </c>
      <c r="D510" s="33" t="s">
        <v>1427</v>
      </c>
      <c r="E510" s="35"/>
      <c r="F510" s="35"/>
      <c r="G510" s="33"/>
      <c r="H510" s="33" t="s">
        <v>150</v>
      </c>
      <c r="I510" s="21" t="s">
        <v>8</v>
      </c>
      <c r="J510" s="32" t="s">
        <v>8</v>
      </c>
      <c r="K510" s="35" t="s">
        <v>5</v>
      </c>
      <c r="L510" s="35" t="s">
        <v>2043</v>
      </c>
      <c r="M510" s="33" t="s">
        <v>2653</v>
      </c>
      <c r="N510" s="37" t="s">
        <v>2491</v>
      </c>
      <c r="O510" s="67"/>
      <c r="P510" s="37" t="s">
        <v>160</v>
      </c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 t="s">
        <v>160</v>
      </c>
      <c r="AS510" s="37" t="s">
        <v>160</v>
      </c>
      <c r="AT510" s="37"/>
      <c r="AU510" s="37"/>
      <c r="AV510" s="37"/>
      <c r="AW510" s="37"/>
      <c r="AX510" s="37"/>
      <c r="AY510" s="37"/>
      <c r="AZ510" s="37"/>
      <c r="BA510" s="37"/>
      <c r="BB510" s="37"/>
      <c r="BC510" s="37"/>
      <c r="BD510" s="37"/>
      <c r="BE510" s="37"/>
    </row>
    <row r="511" spans="1:57" x14ac:dyDescent="0.25">
      <c r="A511" s="114" t="s">
        <v>2773</v>
      </c>
      <c r="B511" s="94" t="s">
        <v>2891</v>
      </c>
      <c r="C511" s="94" t="s">
        <v>1426</v>
      </c>
      <c r="D511" s="94" t="s">
        <v>1427</v>
      </c>
      <c r="E511" s="82">
        <f>63+26/60+6.36/3600</f>
        <v>63.435099999999998</v>
      </c>
      <c r="F511" s="82">
        <f>19+40/60+23.16/3600</f>
        <v>19.673100000000002</v>
      </c>
      <c r="G511" s="94">
        <v>5.9279999999999999</v>
      </c>
      <c r="H511" s="94" t="s">
        <v>150</v>
      </c>
      <c r="I511" s="122" t="s">
        <v>8</v>
      </c>
      <c r="J511" s="122" t="s">
        <v>8</v>
      </c>
      <c r="K511" s="82" t="s">
        <v>5</v>
      </c>
      <c r="L511" s="93" t="s">
        <v>2680</v>
      </c>
      <c r="M511" s="105" t="s">
        <v>2653</v>
      </c>
      <c r="N511" s="108" t="s">
        <v>2491</v>
      </c>
      <c r="O511" s="104"/>
      <c r="P511" s="108" t="s">
        <v>160</v>
      </c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  <c r="AA511" s="108"/>
      <c r="AB511" s="108"/>
      <c r="AC511" s="108"/>
      <c r="AD511" s="108"/>
      <c r="AE511" s="108"/>
      <c r="AF511" s="108"/>
      <c r="AG511" s="108"/>
      <c r="AH511" s="108"/>
      <c r="AI511" s="108"/>
      <c r="AJ511" s="108"/>
      <c r="AK511" s="108"/>
      <c r="AL511" s="108"/>
      <c r="AM511" s="108"/>
      <c r="AN511" s="108"/>
      <c r="AO511" s="108"/>
      <c r="AP511" s="108"/>
      <c r="AQ511" s="108"/>
      <c r="AR511" s="108" t="s">
        <v>160</v>
      </c>
      <c r="AS511" s="108" t="s">
        <v>160</v>
      </c>
      <c r="AT511" s="108" t="s">
        <v>160</v>
      </c>
      <c r="AU511" s="108" t="s">
        <v>160</v>
      </c>
      <c r="AV511" s="108" t="s">
        <v>160</v>
      </c>
      <c r="AW511" s="108" t="s">
        <v>160</v>
      </c>
      <c r="AX511" s="108" t="s">
        <v>160</v>
      </c>
      <c r="AY511" s="108" t="s">
        <v>160</v>
      </c>
      <c r="AZ511" s="108" t="s">
        <v>160</v>
      </c>
      <c r="BA511" s="108" t="s">
        <v>160</v>
      </c>
      <c r="BB511" s="108"/>
      <c r="BC511" s="108"/>
      <c r="BD511" s="108"/>
      <c r="BE511" s="108"/>
    </row>
    <row r="512" spans="1:57" s="33" customFormat="1" x14ac:dyDescent="0.25">
      <c r="A512" s="6" t="s">
        <v>8</v>
      </c>
      <c r="B512" s="9">
        <v>139260</v>
      </c>
      <c r="C512" s="9" t="s">
        <v>1426</v>
      </c>
      <c r="D512" s="9" t="s">
        <v>1427</v>
      </c>
      <c r="E512" s="3">
        <f>63+26/60+6.36/3600</f>
        <v>63.435099999999998</v>
      </c>
      <c r="F512" s="3">
        <f>19+40/60+23.16/3600</f>
        <v>19.673100000000002</v>
      </c>
      <c r="G512" s="9">
        <v>5.9279999999999999</v>
      </c>
      <c r="H512" s="9" t="s">
        <v>150</v>
      </c>
      <c r="I512" s="21" t="s">
        <v>8</v>
      </c>
      <c r="J512" s="21" t="s">
        <v>8</v>
      </c>
      <c r="K512" s="3" t="s">
        <v>5</v>
      </c>
      <c r="L512" s="5" t="s">
        <v>2680</v>
      </c>
      <c r="M512" s="7" t="s">
        <v>2653</v>
      </c>
      <c r="N512" s="19" t="s">
        <v>2491</v>
      </c>
      <c r="O512" s="22"/>
      <c r="P512" s="19" t="s">
        <v>160</v>
      </c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 t="s">
        <v>160</v>
      </c>
      <c r="AS512" s="19" t="s">
        <v>160</v>
      </c>
      <c r="AT512" s="19" t="s">
        <v>160</v>
      </c>
      <c r="AU512" s="19" t="s">
        <v>160</v>
      </c>
      <c r="AV512" s="19" t="s">
        <v>160</v>
      </c>
      <c r="AW512" s="19" t="s">
        <v>160</v>
      </c>
      <c r="AX512" s="19" t="s">
        <v>160</v>
      </c>
      <c r="AY512" s="19" t="s">
        <v>160</v>
      </c>
      <c r="AZ512" s="19" t="s">
        <v>160</v>
      </c>
      <c r="BA512" s="19" t="s">
        <v>160</v>
      </c>
      <c r="BB512" s="19"/>
      <c r="BC512" s="19"/>
      <c r="BD512" s="19"/>
      <c r="BE512" s="19"/>
    </row>
    <row r="513" spans="1:57" x14ac:dyDescent="0.25">
      <c r="A513" s="6" t="s">
        <v>706</v>
      </c>
      <c r="B513" s="9">
        <v>216</v>
      </c>
      <c r="C513" s="9" t="s">
        <v>1426</v>
      </c>
      <c r="D513" s="88" t="s">
        <v>2664</v>
      </c>
      <c r="E513" s="3">
        <f>63+26/60+7/3600</f>
        <v>63.435277777777777</v>
      </c>
      <c r="F513" s="3">
        <f>19+40/60+23/3600</f>
        <v>19.673055555555557</v>
      </c>
      <c r="G513" s="9"/>
      <c r="H513" s="9" t="s">
        <v>150</v>
      </c>
      <c r="I513" s="21" t="s">
        <v>8</v>
      </c>
      <c r="J513" s="21" t="s">
        <v>8</v>
      </c>
      <c r="K513" s="3" t="s">
        <v>5</v>
      </c>
      <c r="L513" s="5" t="s">
        <v>2043</v>
      </c>
      <c r="M513" s="7" t="s">
        <v>2653</v>
      </c>
      <c r="N513" s="19" t="s">
        <v>2491</v>
      </c>
      <c r="O513" s="22"/>
      <c r="P513" s="19" t="s">
        <v>160</v>
      </c>
      <c r="AR513" s="19" t="s">
        <v>160</v>
      </c>
      <c r="AS513" s="19" t="s">
        <v>160</v>
      </c>
      <c r="BB513" s="19"/>
      <c r="BC513" s="19"/>
      <c r="BD513" s="19"/>
      <c r="BE513" s="19"/>
    </row>
    <row r="514" spans="1:57" s="94" customFormat="1" x14ac:dyDescent="0.25">
      <c r="A514" s="9" t="s">
        <v>707</v>
      </c>
      <c r="B514" s="137" t="s">
        <v>332</v>
      </c>
      <c r="C514" s="39" t="s">
        <v>2646</v>
      </c>
      <c r="D514" s="40" t="s">
        <v>333</v>
      </c>
      <c r="E514" s="46" t="s">
        <v>335</v>
      </c>
      <c r="F514" s="46" t="s">
        <v>334</v>
      </c>
      <c r="G514" s="149"/>
      <c r="H514" s="9" t="s">
        <v>149</v>
      </c>
      <c r="I514" s="41" t="s">
        <v>169</v>
      </c>
      <c r="J514" s="41" t="s">
        <v>169</v>
      </c>
      <c r="K514" s="40" t="s">
        <v>6</v>
      </c>
      <c r="L514" s="41" t="s">
        <v>2030</v>
      </c>
      <c r="M514" s="7" t="s">
        <v>2653</v>
      </c>
      <c r="N514" s="19"/>
      <c r="O514" s="19"/>
      <c r="P514" s="19"/>
      <c r="Q514" s="19" t="s">
        <v>2647</v>
      </c>
      <c r="R514" s="19"/>
      <c r="S514" s="19"/>
      <c r="T514" s="19"/>
      <c r="U514" s="19"/>
      <c r="V514" s="42" t="s">
        <v>160</v>
      </c>
      <c r="W514" s="42" t="s">
        <v>160</v>
      </c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  <c r="AR514" s="42"/>
      <c r="AS514" s="42"/>
      <c r="AT514" s="19"/>
      <c r="AU514" s="19"/>
      <c r="AV514" s="19"/>
      <c r="AW514" s="19"/>
      <c r="AX514" s="19"/>
      <c r="AY514" s="19"/>
      <c r="AZ514" s="42"/>
      <c r="BA514" s="42"/>
      <c r="BB514" s="42"/>
      <c r="BC514" s="42"/>
      <c r="BD514" s="42"/>
      <c r="BE514" s="42"/>
    </row>
    <row r="515" spans="1:57" x14ac:dyDescent="0.25">
      <c r="A515" s="94" t="s">
        <v>2773</v>
      </c>
      <c r="B515" s="147" t="s">
        <v>3043</v>
      </c>
      <c r="C515" s="115" t="s">
        <v>2646</v>
      </c>
      <c r="D515" s="153" t="s">
        <v>47</v>
      </c>
      <c r="E515" s="82">
        <f>57+51/60+19.51/3600</f>
        <v>57.855419444444443</v>
      </c>
      <c r="F515" s="82">
        <f>12+0/60+31.14/3600</f>
        <v>12.008649999999999</v>
      </c>
      <c r="G515" s="82"/>
      <c r="H515" s="94" t="s">
        <v>149</v>
      </c>
      <c r="I515" s="113" t="s">
        <v>169</v>
      </c>
      <c r="J515" s="113" t="s">
        <v>169</v>
      </c>
      <c r="K515" s="94" t="s">
        <v>6</v>
      </c>
      <c r="L515" s="105" t="s">
        <v>2030</v>
      </c>
      <c r="M515" s="105" t="s">
        <v>2653</v>
      </c>
      <c r="N515" s="108"/>
      <c r="O515" s="108"/>
      <c r="P515" s="108"/>
      <c r="Q515" s="108" t="s">
        <v>2647</v>
      </c>
      <c r="R515" s="108"/>
      <c r="S515" s="108"/>
      <c r="T515" s="108"/>
      <c r="U515" s="108"/>
      <c r="V515" s="108" t="s">
        <v>160</v>
      </c>
      <c r="W515" s="108" t="s">
        <v>160</v>
      </c>
      <c r="X515" s="108"/>
      <c r="Y515" s="108"/>
      <c r="Z515" s="108"/>
      <c r="AA515" s="108"/>
      <c r="AB515" s="108"/>
      <c r="AC515" s="108"/>
      <c r="AD515" s="108"/>
      <c r="AE515" s="108"/>
      <c r="AF515" s="108"/>
      <c r="AG515" s="108"/>
      <c r="AH515" s="108"/>
      <c r="AI515" s="108"/>
      <c r="AJ515" s="108"/>
      <c r="AK515" s="108"/>
      <c r="AL515" s="108"/>
      <c r="AM515" s="108"/>
      <c r="AN515" s="108"/>
      <c r="AO515" s="108"/>
      <c r="AP515" s="108"/>
      <c r="AQ515" s="108"/>
      <c r="AR515" s="108"/>
      <c r="AS515" s="108"/>
      <c r="AT515" s="108"/>
      <c r="AU515" s="108"/>
      <c r="AV515" s="108"/>
      <c r="AW515" s="108"/>
      <c r="AX515" s="108"/>
      <c r="AY515" s="108"/>
      <c r="AZ515" s="108"/>
      <c r="BA515" s="108"/>
      <c r="BB515" s="108"/>
      <c r="BC515" s="108"/>
      <c r="BD515" s="108"/>
      <c r="BE515" s="108"/>
    </row>
    <row r="516" spans="1:57" x14ac:dyDescent="0.25">
      <c r="A516" s="9" t="s">
        <v>8</v>
      </c>
      <c r="B516" s="144" t="s">
        <v>875</v>
      </c>
      <c r="C516" s="39" t="s">
        <v>2646</v>
      </c>
      <c r="D516" s="24" t="s">
        <v>2646</v>
      </c>
      <c r="E516" s="193">
        <v>57.855400000000003</v>
      </c>
      <c r="F516" s="193">
        <v>12.008599999999999</v>
      </c>
      <c r="H516" s="9" t="s">
        <v>149</v>
      </c>
      <c r="I516" s="41" t="s">
        <v>169</v>
      </c>
      <c r="J516" s="41" t="s">
        <v>169</v>
      </c>
      <c r="K516" s="9" t="s">
        <v>6</v>
      </c>
      <c r="L516" s="7" t="s">
        <v>2030</v>
      </c>
      <c r="M516" s="7" t="s">
        <v>2653</v>
      </c>
      <c r="Q516" s="19" t="s">
        <v>2647</v>
      </c>
      <c r="V516" s="19" t="s">
        <v>160</v>
      </c>
      <c r="W516" s="19" t="s">
        <v>160</v>
      </c>
      <c r="BB516" s="19"/>
      <c r="BC516" s="19"/>
      <c r="BD516" s="19"/>
      <c r="BE516" s="19"/>
    </row>
    <row r="517" spans="1:57" x14ac:dyDescent="0.25">
      <c r="A517" s="9" t="s">
        <v>706</v>
      </c>
      <c r="B517" s="140">
        <v>126</v>
      </c>
      <c r="C517" s="39" t="s">
        <v>2646</v>
      </c>
      <c r="D517" s="62" t="s">
        <v>47</v>
      </c>
      <c r="E517" s="3">
        <f>57+51/60+20/3600</f>
        <v>57.855555555555554</v>
      </c>
      <c r="F517" s="3">
        <f>12+0/60+33/3600</f>
        <v>12.009166666666667</v>
      </c>
      <c r="H517" s="9" t="s">
        <v>149</v>
      </c>
      <c r="I517" s="41" t="s">
        <v>169</v>
      </c>
      <c r="J517" s="41" t="s">
        <v>169</v>
      </c>
      <c r="K517" s="9" t="s">
        <v>6</v>
      </c>
      <c r="L517" s="7" t="s">
        <v>2030</v>
      </c>
      <c r="M517" s="7" t="s">
        <v>2653</v>
      </c>
      <c r="Q517" s="19" t="s">
        <v>2647</v>
      </c>
      <c r="V517" s="19" t="s">
        <v>160</v>
      </c>
      <c r="W517" s="19" t="s">
        <v>160</v>
      </c>
      <c r="BB517" s="19"/>
      <c r="BC517" s="19"/>
      <c r="BD517" s="19"/>
      <c r="BE517" s="19"/>
    </row>
    <row r="518" spans="1:57" x14ac:dyDescent="0.25">
      <c r="A518" s="9" t="s">
        <v>707</v>
      </c>
      <c r="B518" s="137" t="s">
        <v>338</v>
      </c>
      <c r="C518" s="39" t="s">
        <v>753</v>
      </c>
      <c r="D518" s="40" t="s">
        <v>339</v>
      </c>
      <c r="E518" s="46" t="s">
        <v>341</v>
      </c>
      <c r="F518" s="46" t="s">
        <v>340</v>
      </c>
      <c r="G518" s="40"/>
      <c r="H518" s="9" t="s">
        <v>150</v>
      </c>
      <c r="I518" s="41" t="s">
        <v>169</v>
      </c>
      <c r="J518" s="41" t="s">
        <v>169</v>
      </c>
      <c r="K518" s="40" t="s">
        <v>6</v>
      </c>
      <c r="L518" s="41" t="s">
        <v>2031</v>
      </c>
      <c r="M518" s="7" t="s">
        <v>2653</v>
      </c>
      <c r="N518" s="19" t="s">
        <v>1108</v>
      </c>
      <c r="O518" s="42" t="s">
        <v>160</v>
      </c>
      <c r="P518" s="42" t="s">
        <v>160</v>
      </c>
      <c r="Q518" s="44" t="s">
        <v>1203</v>
      </c>
      <c r="S518" s="19" t="s">
        <v>160</v>
      </c>
      <c r="T518" s="19" t="s">
        <v>160</v>
      </c>
      <c r="U518" s="19">
        <v>2</v>
      </c>
      <c r="V518" s="42" t="s">
        <v>160</v>
      </c>
      <c r="W518" s="42" t="s">
        <v>160</v>
      </c>
      <c r="X518" s="42" t="s">
        <v>160</v>
      </c>
      <c r="Y518" s="42" t="s">
        <v>160</v>
      </c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  <c r="AR518" s="42"/>
      <c r="AS518" s="42"/>
      <c r="AZ518" s="42"/>
      <c r="BA518" s="42"/>
      <c r="BB518" s="42"/>
      <c r="BC518" s="42"/>
      <c r="BD518" s="42"/>
      <c r="BE518" s="42"/>
    </row>
    <row r="519" spans="1:57" x14ac:dyDescent="0.25">
      <c r="A519" s="9" t="s">
        <v>707</v>
      </c>
      <c r="B519" s="39" t="s">
        <v>336</v>
      </c>
      <c r="C519" s="39" t="s">
        <v>753</v>
      </c>
      <c r="D519" s="40" t="s">
        <v>337</v>
      </c>
      <c r="E519" s="46" t="s">
        <v>2109</v>
      </c>
      <c r="F519" s="46" t="s">
        <v>2110</v>
      </c>
      <c r="G519" s="40"/>
      <c r="H519" s="9" t="s">
        <v>150</v>
      </c>
      <c r="I519" s="41" t="s">
        <v>169</v>
      </c>
      <c r="J519" s="41" t="s">
        <v>169</v>
      </c>
      <c r="K519" s="40" t="s">
        <v>5</v>
      </c>
      <c r="L519" s="41" t="s">
        <v>2056</v>
      </c>
      <c r="M519" s="7" t="s">
        <v>2653</v>
      </c>
      <c r="N519" s="19" t="s">
        <v>1108</v>
      </c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  <c r="AR519" s="42" t="s">
        <v>160</v>
      </c>
      <c r="AS519" s="42" t="s">
        <v>160</v>
      </c>
      <c r="AZ519" s="42" t="s">
        <v>160</v>
      </c>
      <c r="BA519" s="42" t="s">
        <v>160</v>
      </c>
      <c r="BB519" s="42"/>
      <c r="BC519" s="42"/>
      <c r="BD519" s="42"/>
      <c r="BE519" s="42"/>
    </row>
    <row r="520" spans="1:57" x14ac:dyDescent="0.25">
      <c r="A520" s="53" t="s">
        <v>2763</v>
      </c>
      <c r="B520" s="143">
        <v>35101</v>
      </c>
      <c r="C520" s="85" t="s">
        <v>753</v>
      </c>
      <c r="D520" s="85" t="s">
        <v>2751</v>
      </c>
      <c r="E520" s="40">
        <f>58+37/60+58.1412/3600</f>
        <v>58.632817000000003</v>
      </c>
      <c r="F520" s="40">
        <f>16+20/60+0.7368/3600</f>
        <v>16.333537999999997</v>
      </c>
      <c r="G520" s="85">
        <v>3.07</v>
      </c>
      <c r="H520" s="9" t="s">
        <v>150</v>
      </c>
      <c r="I520" s="14" t="s">
        <v>169</v>
      </c>
      <c r="J520" s="85" t="s">
        <v>169</v>
      </c>
      <c r="K520" s="40" t="s">
        <v>6</v>
      </c>
      <c r="L520" s="41" t="s">
        <v>2031</v>
      </c>
      <c r="M520" s="7" t="s">
        <v>2653</v>
      </c>
      <c r="N520" s="19" t="s">
        <v>1108</v>
      </c>
      <c r="O520" s="42" t="s">
        <v>160</v>
      </c>
      <c r="P520" s="42" t="s">
        <v>160</v>
      </c>
      <c r="Q520" s="44" t="s">
        <v>1203</v>
      </c>
      <c r="S520" s="19" t="s">
        <v>160</v>
      </c>
      <c r="T520" s="19" t="s">
        <v>160</v>
      </c>
      <c r="U520" s="19">
        <v>2</v>
      </c>
      <c r="V520" s="42" t="s">
        <v>160</v>
      </c>
      <c r="W520" s="42" t="s">
        <v>160</v>
      </c>
      <c r="X520" s="42" t="s">
        <v>160</v>
      </c>
      <c r="Y520" s="42" t="s">
        <v>160</v>
      </c>
      <c r="Z520" s="85"/>
      <c r="AA520" s="85"/>
      <c r="AB520" s="85"/>
      <c r="AC520" s="85"/>
      <c r="AD520" s="85"/>
      <c r="AE520" s="85"/>
      <c r="AF520" s="85"/>
      <c r="AG520" s="85"/>
      <c r="AH520" s="85"/>
      <c r="AI520" s="85"/>
      <c r="AJ520" s="85"/>
      <c r="AK520" s="85"/>
      <c r="AL520" s="85"/>
      <c r="AM520" s="85"/>
      <c r="AN520" s="85"/>
      <c r="AO520" s="85"/>
      <c r="AP520" s="85"/>
      <c r="AQ520" s="85"/>
      <c r="AR520" s="85"/>
      <c r="AS520" s="85"/>
      <c r="AT520" s="85"/>
      <c r="AU520" s="85"/>
      <c r="AV520" s="85"/>
      <c r="AW520" s="85"/>
      <c r="AX520" s="85"/>
      <c r="AY520" s="85"/>
      <c r="AZ520" s="85"/>
      <c r="BA520" s="85"/>
      <c r="BB520" s="85"/>
      <c r="BC520" s="85"/>
      <c r="BD520" s="85"/>
      <c r="BE520" s="85"/>
    </row>
    <row r="521" spans="1:57" s="94" customFormat="1" x14ac:dyDescent="0.25">
      <c r="A521" s="105" t="s">
        <v>2773</v>
      </c>
      <c r="B521" s="139" t="s">
        <v>2793</v>
      </c>
      <c r="C521" s="110" t="s">
        <v>753</v>
      </c>
      <c r="D521" s="153" t="s">
        <v>48</v>
      </c>
      <c r="E521" s="82">
        <f>58+37/60+55.2324/3600</f>
        <v>58.632009000000004</v>
      </c>
      <c r="F521" s="82">
        <f>16+19/60+57.144/3600</f>
        <v>16.332539999999998</v>
      </c>
      <c r="G521" s="178">
        <v>3.07</v>
      </c>
      <c r="H521" s="105" t="s">
        <v>150</v>
      </c>
      <c r="I521" s="105" t="s">
        <v>169</v>
      </c>
      <c r="J521" s="105" t="s">
        <v>169</v>
      </c>
      <c r="K521" s="105" t="s">
        <v>40</v>
      </c>
      <c r="L521" s="105" t="s">
        <v>2057</v>
      </c>
      <c r="M521" s="105" t="s">
        <v>2653</v>
      </c>
      <c r="N521" s="108" t="s">
        <v>1108</v>
      </c>
      <c r="O521" s="106" t="s">
        <v>160</v>
      </c>
      <c r="P521" s="106" t="s">
        <v>160</v>
      </c>
      <c r="Q521" s="107" t="s">
        <v>1203</v>
      </c>
      <c r="R521" s="108"/>
      <c r="S521" s="108" t="s">
        <v>160</v>
      </c>
      <c r="T521" s="108" t="s">
        <v>160</v>
      </c>
      <c r="U521" s="106">
        <v>2</v>
      </c>
      <c r="V521" s="103" t="s">
        <v>160</v>
      </c>
      <c r="W521" s="103" t="s">
        <v>160</v>
      </c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 t="s">
        <v>160</v>
      </c>
      <c r="AS521" s="103" t="s">
        <v>160</v>
      </c>
      <c r="AT521" s="103"/>
      <c r="AU521" s="103"/>
      <c r="AV521" s="103"/>
      <c r="AW521" s="103"/>
      <c r="AX521" s="103"/>
      <c r="AY521" s="103"/>
      <c r="AZ521" s="103" t="s">
        <v>160</v>
      </c>
      <c r="BA521" s="103" t="s">
        <v>160</v>
      </c>
      <c r="BB521" s="103"/>
      <c r="BC521" s="103"/>
      <c r="BD521" s="103"/>
      <c r="BE521" s="103"/>
    </row>
    <row r="522" spans="1:57" x14ac:dyDescent="0.25">
      <c r="A522" s="7" t="s">
        <v>8</v>
      </c>
      <c r="B522" s="142" t="s">
        <v>2892</v>
      </c>
      <c r="C522" s="23" t="s">
        <v>753</v>
      </c>
      <c r="D522" s="24" t="s">
        <v>753</v>
      </c>
      <c r="E522" s="193">
        <v>58.6342</v>
      </c>
      <c r="F522" s="193">
        <v>16.3248</v>
      </c>
      <c r="G522" s="43"/>
      <c r="H522" s="7" t="s">
        <v>150</v>
      </c>
      <c r="I522" s="7" t="s">
        <v>169</v>
      </c>
      <c r="J522" s="7" t="s">
        <v>169</v>
      </c>
      <c r="K522" s="7" t="s">
        <v>40</v>
      </c>
      <c r="L522" s="7" t="s">
        <v>2057</v>
      </c>
      <c r="M522" s="7" t="s">
        <v>2653</v>
      </c>
      <c r="N522" s="19" t="s">
        <v>1108</v>
      </c>
      <c r="O522" s="42" t="s">
        <v>160</v>
      </c>
      <c r="P522" s="42" t="s">
        <v>160</v>
      </c>
      <c r="Q522" s="44" t="s">
        <v>1203</v>
      </c>
      <c r="S522" s="19" t="s">
        <v>160</v>
      </c>
      <c r="T522" s="19" t="s">
        <v>160</v>
      </c>
      <c r="U522" s="42">
        <v>2</v>
      </c>
      <c r="V522" s="20" t="s">
        <v>160</v>
      </c>
      <c r="W522" s="20" t="s">
        <v>160</v>
      </c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 t="s">
        <v>160</v>
      </c>
      <c r="AS522" s="20" t="s">
        <v>160</v>
      </c>
      <c r="AT522" s="20"/>
      <c r="AU522" s="20"/>
      <c r="AV522" s="20"/>
      <c r="AW522" s="20"/>
      <c r="AX522" s="20"/>
      <c r="AY522" s="20"/>
      <c r="AZ522" s="20" t="s">
        <v>160</v>
      </c>
      <c r="BA522" s="20" t="s">
        <v>160</v>
      </c>
      <c r="BB522" s="20"/>
      <c r="BC522" s="20"/>
      <c r="BD522" s="20"/>
      <c r="BE522" s="20"/>
    </row>
    <row r="523" spans="1:57" x14ac:dyDescent="0.25">
      <c r="A523" s="9" t="s">
        <v>706</v>
      </c>
      <c r="B523" s="140">
        <v>58</v>
      </c>
      <c r="C523" s="38" t="s">
        <v>753</v>
      </c>
      <c r="D523" s="62" t="s">
        <v>48</v>
      </c>
      <c r="E523" s="3">
        <f>58+38/60+3/3600</f>
        <v>58.634166666666665</v>
      </c>
      <c r="F523" s="3">
        <f>16+19/60+29/3600</f>
        <v>16.324722222222221</v>
      </c>
      <c r="G523" s="43"/>
      <c r="H523" s="9" t="s">
        <v>150</v>
      </c>
      <c r="I523" s="7" t="s">
        <v>169</v>
      </c>
      <c r="J523" s="7" t="s">
        <v>169</v>
      </c>
      <c r="K523" s="9" t="s">
        <v>6</v>
      </c>
      <c r="L523" s="7" t="s">
        <v>2031</v>
      </c>
      <c r="M523" s="7" t="s">
        <v>2653</v>
      </c>
      <c r="N523" s="19" t="s">
        <v>1108</v>
      </c>
      <c r="O523" s="42" t="s">
        <v>160</v>
      </c>
      <c r="P523" s="42" t="s">
        <v>160</v>
      </c>
      <c r="Q523" s="44" t="s">
        <v>1203</v>
      </c>
      <c r="S523" s="19" t="s">
        <v>160</v>
      </c>
      <c r="T523" s="19" t="s">
        <v>160</v>
      </c>
      <c r="U523" s="19">
        <v>2</v>
      </c>
      <c r="V523" s="19" t="s">
        <v>160</v>
      </c>
      <c r="W523" s="19" t="s">
        <v>160</v>
      </c>
      <c r="X523" s="19" t="s">
        <v>160</v>
      </c>
      <c r="Y523" s="19" t="s">
        <v>160</v>
      </c>
      <c r="BB523" s="19"/>
      <c r="BC523" s="19"/>
      <c r="BD523" s="19"/>
      <c r="BE523" s="19"/>
    </row>
    <row r="524" spans="1:57" x14ac:dyDescent="0.25">
      <c r="A524" s="7" t="s">
        <v>8</v>
      </c>
      <c r="B524" s="27">
        <v>37243</v>
      </c>
      <c r="C524" s="28" t="s">
        <v>1929</v>
      </c>
      <c r="D524" s="28" t="s">
        <v>1752</v>
      </c>
      <c r="E524" s="25">
        <v>57.3</v>
      </c>
      <c r="F524" s="25">
        <v>16.783300000000001</v>
      </c>
      <c r="H524" s="9" t="s">
        <v>150</v>
      </c>
      <c r="I524" s="6" t="s">
        <v>8</v>
      </c>
      <c r="J524" s="21" t="s">
        <v>8</v>
      </c>
      <c r="K524" s="6" t="s">
        <v>2455</v>
      </c>
      <c r="L524" s="7" t="s">
        <v>2027</v>
      </c>
      <c r="M524" s="28" t="s">
        <v>717</v>
      </c>
      <c r="N524" s="19" t="s">
        <v>1811</v>
      </c>
      <c r="O524" s="22"/>
      <c r="T524" s="7"/>
      <c r="X524" s="19" t="s">
        <v>160</v>
      </c>
      <c r="BA524" s="7"/>
      <c r="BB524" s="7"/>
      <c r="BC524" s="7"/>
      <c r="BD524" s="7"/>
      <c r="BE524" s="7"/>
    </row>
    <row r="525" spans="1:57" x14ac:dyDescent="0.25">
      <c r="A525" s="7" t="s">
        <v>8</v>
      </c>
      <c r="B525" s="27">
        <v>37244</v>
      </c>
      <c r="C525" s="28" t="s">
        <v>1930</v>
      </c>
      <c r="D525" s="28" t="s">
        <v>1753</v>
      </c>
      <c r="E525" s="25">
        <v>57.416699999999999</v>
      </c>
      <c r="F525" s="25">
        <v>17.133299999999998</v>
      </c>
      <c r="H525" s="9" t="s">
        <v>150</v>
      </c>
      <c r="I525" s="6" t="s">
        <v>8</v>
      </c>
      <c r="J525" s="21" t="s">
        <v>8</v>
      </c>
      <c r="K525" s="6" t="s">
        <v>2455</v>
      </c>
      <c r="L525" s="7" t="s">
        <v>2027</v>
      </c>
      <c r="M525" s="28" t="s">
        <v>717</v>
      </c>
      <c r="N525" s="19" t="s">
        <v>1811</v>
      </c>
      <c r="O525" s="22"/>
      <c r="T525" s="7"/>
      <c r="X525" s="19" t="s">
        <v>160</v>
      </c>
      <c r="BA525" s="7"/>
      <c r="BB525" s="7"/>
      <c r="BC525" s="7"/>
      <c r="BD525" s="7"/>
      <c r="BE525" s="7"/>
    </row>
    <row r="526" spans="1:57" x14ac:dyDescent="0.25">
      <c r="A526" s="7" t="s">
        <v>8</v>
      </c>
      <c r="B526" s="27">
        <v>37245</v>
      </c>
      <c r="C526" s="28" t="s">
        <v>1931</v>
      </c>
      <c r="D526" s="28" t="s">
        <v>1754</v>
      </c>
      <c r="E526" s="25">
        <v>57.533299999999997</v>
      </c>
      <c r="F526" s="25">
        <v>17.666699999999999</v>
      </c>
      <c r="H526" s="9" t="s">
        <v>150</v>
      </c>
      <c r="I526" s="6" t="s">
        <v>8</v>
      </c>
      <c r="J526" s="21" t="s">
        <v>8</v>
      </c>
      <c r="K526" s="6" t="s">
        <v>2455</v>
      </c>
      <c r="L526" s="7" t="s">
        <v>2027</v>
      </c>
      <c r="M526" s="28" t="s">
        <v>717</v>
      </c>
      <c r="N526" s="19" t="s">
        <v>1847</v>
      </c>
      <c r="O526" s="22"/>
      <c r="T526" s="7"/>
      <c r="X526" s="19" t="s">
        <v>160</v>
      </c>
      <c r="BA526" s="7"/>
      <c r="BB526" s="7"/>
      <c r="BC526" s="7"/>
      <c r="BD526" s="7"/>
      <c r="BE526" s="7"/>
    </row>
    <row r="527" spans="1:57" x14ac:dyDescent="0.25">
      <c r="A527" s="6" t="s">
        <v>8</v>
      </c>
      <c r="B527" s="9">
        <v>163940</v>
      </c>
      <c r="C527" s="9" t="s">
        <v>2254</v>
      </c>
      <c r="D527" s="9" t="s">
        <v>1428</v>
      </c>
      <c r="E527" s="3">
        <v>65.849999999999994</v>
      </c>
      <c r="F527" s="3">
        <v>23.2</v>
      </c>
      <c r="G527" s="9">
        <v>6</v>
      </c>
      <c r="H527" s="9" t="s">
        <v>150</v>
      </c>
      <c r="I527" s="6" t="s">
        <v>8</v>
      </c>
      <c r="J527" s="21" t="s">
        <v>8</v>
      </c>
      <c r="K527" s="3" t="s">
        <v>5</v>
      </c>
      <c r="L527" s="5" t="s">
        <v>2680</v>
      </c>
      <c r="M527" s="7" t="s">
        <v>717</v>
      </c>
      <c r="N527" s="19" t="s">
        <v>2492</v>
      </c>
      <c r="O527" s="22"/>
      <c r="P527" s="19" t="s">
        <v>160</v>
      </c>
      <c r="AR527" s="19" t="s">
        <v>160</v>
      </c>
      <c r="AT527" s="19" t="s">
        <v>160</v>
      </c>
      <c r="AV527" s="19" t="s">
        <v>160</v>
      </c>
      <c r="AX527" s="19" t="s">
        <v>160</v>
      </c>
      <c r="AZ527" s="19" t="s">
        <v>160</v>
      </c>
      <c r="BB527" s="19"/>
      <c r="BC527" s="19"/>
      <c r="BD527" s="19"/>
      <c r="BE527" s="19"/>
    </row>
    <row r="528" spans="1:57" x14ac:dyDescent="0.25">
      <c r="A528" s="9" t="s">
        <v>707</v>
      </c>
      <c r="B528" s="137" t="s">
        <v>344</v>
      </c>
      <c r="C528" s="38" t="s">
        <v>850</v>
      </c>
      <c r="D528" s="40" t="s">
        <v>345</v>
      </c>
      <c r="E528" s="46" t="s">
        <v>2111</v>
      </c>
      <c r="F528" s="46" t="s">
        <v>2112</v>
      </c>
      <c r="G528" s="40"/>
      <c r="H528" s="9" t="s">
        <v>150</v>
      </c>
      <c r="I528" s="41" t="s">
        <v>169</v>
      </c>
      <c r="J528" s="41" t="s">
        <v>169</v>
      </c>
      <c r="K528" s="40" t="s">
        <v>6</v>
      </c>
      <c r="L528" s="41" t="s">
        <v>2031</v>
      </c>
      <c r="M528" s="7" t="s">
        <v>2653</v>
      </c>
      <c r="N528" s="19" t="s">
        <v>1108</v>
      </c>
      <c r="O528" s="42" t="s">
        <v>160</v>
      </c>
      <c r="P528" s="42" t="s">
        <v>160</v>
      </c>
      <c r="Q528" s="44" t="s">
        <v>1148</v>
      </c>
      <c r="S528" s="19" t="s">
        <v>160</v>
      </c>
      <c r="T528" s="19" t="s">
        <v>160</v>
      </c>
      <c r="U528" s="19">
        <v>2</v>
      </c>
      <c r="V528" s="42" t="s">
        <v>160</v>
      </c>
      <c r="W528" s="42" t="s">
        <v>160</v>
      </c>
      <c r="X528" s="42" t="s">
        <v>160</v>
      </c>
      <c r="Y528" s="42" t="s">
        <v>160</v>
      </c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  <c r="AR528" s="42"/>
      <c r="AS528" s="42"/>
      <c r="AZ528" s="42"/>
      <c r="BA528" s="42"/>
      <c r="BB528" s="42"/>
      <c r="BC528" s="42"/>
      <c r="BD528" s="42"/>
      <c r="BE528" s="42"/>
    </row>
    <row r="529" spans="1:57" x14ac:dyDescent="0.25">
      <c r="A529" s="9" t="s">
        <v>707</v>
      </c>
      <c r="B529" s="39" t="s">
        <v>342</v>
      </c>
      <c r="C529" s="39" t="s">
        <v>850</v>
      </c>
      <c r="D529" s="40" t="s">
        <v>343</v>
      </c>
      <c r="E529" s="46" t="s">
        <v>2111</v>
      </c>
      <c r="F529" s="46" t="s">
        <v>2112</v>
      </c>
      <c r="G529" s="52"/>
      <c r="H529" s="9" t="s">
        <v>150</v>
      </c>
      <c r="I529" s="41" t="s">
        <v>169</v>
      </c>
      <c r="J529" s="41" t="s">
        <v>169</v>
      </c>
      <c r="K529" s="40" t="s">
        <v>5</v>
      </c>
      <c r="L529" s="41" t="s">
        <v>2043</v>
      </c>
      <c r="M529" s="7" t="s">
        <v>2653</v>
      </c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  <c r="AR529" s="42" t="s">
        <v>160</v>
      </c>
      <c r="AS529" s="42" t="s">
        <v>160</v>
      </c>
      <c r="AZ529" s="42"/>
      <c r="BA529" s="42"/>
      <c r="BB529" s="42"/>
      <c r="BC529" s="42"/>
      <c r="BD529" s="42"/>
      <c r="BE529" s="42"/>
    </row>
    <row r="530" spans="1:57" x14ac:dyDescent="0.25">
      <c r="A530" s="53" t="s">
        <v>2763</v>
      </c>
      <c r="B530" s="138">
        <v>35103</v>
      </c>
      <c r="C530" s="53" t="s">
        <v>850</v>
      </c>
      <c r="D530" s="53" t="s">
        <v>2752</v>
      </c>
      <c r="E530" s="35">
        <f>65+47/60+21.45/3600</f>
        <v>65.789291666666671</v>
      </c>
      <c r="F530" s="35">
        <f>23+18/60+2.333/3600</f>
        <v>23.300648055555556</v>
      </c>
      <c r="G530" s="53">
        <v>1.84</v>
      </c>
      <c r="H530" s="9" t="s">
        <v>150</v>
      </c>
      <c r="I530" s="7" t="s">
        <v>169</v>
      </c>
      <c r="J530" s="53" t="s">
        <v>169</v>
      </c>
      <c r="K530" s="24" t="s">
        <v>6</v>
      </c>
      <c r="L530" s="24" t="s">
        <v>2031</v>
      </c>
      <c r="M530" s="7" t="s">
        <v>2653</v>
      </c>
      <c r="N530" s="19" t="s">
        <v>1108</v>
      </c>
      <c r="O530" s="42" t="s">
        <v>160</v>
      </c>
      <c r="P530" s="42" t="s">
        <v>160</v>
      </c>
      <c r="Q530" s="44" t="s">
        <v>1148</v>
      </c>
      <c r="S530" s="19" t="s">
        <v>160</v>
      </c>
      <c r="T530" s="19" t="s">
        <v>160</v>
      </c>
      <c r="U530" s="19">
        <v>2</v>
      </c>
      <c r="V530" s="19" t="s">
        <v>160</v>
      </c>
      <c r="W530" s="19" t="s">
        <v>160</v>
      </c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94" customFormat="1" x14ac:dyDescent="0.25">
      <c r="A531" s="114" t="s">
        <v>2773</v>
      </c>
      <c r="B531" s="139" t="s">
        <v>2794</v>
      </c>
      <c r="C531" s="110" t="s">
        <v>850</v>
      </c>
      <c r="D531" s="153" t="s">
        <v>2897</v>
      </c>
      <c r="E531" s="83">
        <f>65+47/60+21.4764/3600</f>
        <v>65.789299</v>
      </c>
      <c r="F531" s="83">
        <f>23+18/60+2.3328/3600</f>
        <v>23.300648000000002</v>
      </c>
      <c r="G531" s="188">
        <v>1.84</v>
      </c>
      <c r="H531" s="94" t="s">
        <v>150</v>
      </c>
      <c r="I531" s="102" t="s">
        <v>169</v>
      </c>
      <c r="J531" s="102" t="s">
        <v>169</v>
      </c>
      <c r="K531" s="102" t="s">
        <v>6</v>
      </c>
      <c r="L531" s="102" t="s">
        <v>2055</v>
      </c>
      <c r="M531" s="105" t="s">
        <v>2653</v>
      </c>
      <c r="N531" s="108" t="s">
        <v>1108</v>
      </c>
      <c r="O531" s="106" t="s">
        <v>160</v>
      </c>
      <c r="P531" s="106" t="s">
        <v>160</v>
      </c>
      <c r="Q531" s="107" t="s">
        <v>1148</v>
      </c>
      <c r="R531" s="108"/>
      <c r="S531" s="108" t="s">
        <v>160</v>
      </c>
      <c r="T531" s="108" t="s">
        <v>160</v>
      </c>
      <c r="U531" s="108">
        <v>2</v>
      </c>
      <c r="V531" s="108" t="s">
        <v>160</v>
      </c>
      <c r="W531" s="108" t="s">
        <v>160</v>
      </c>
      <c r="X531" s="108"/>
      <c r="Y531" s="108"/>
      <c r="Z531" s="108"/>
      <c r="AA531" s="108"/>
      <c r="AB531" s="108"/>
      <c r="AC531" s="108"/>
      <c r="AD531" s="108"/>
      <c r="AE531" s="108"/>
      <c r="AF531" s="108"/>
      <c r="AG531" s="108"/>
      <c r="AH531" s="108"/>
      <c r="AI531" s="108"/>
      <c r="AJ531" s="108"/>
      <c r="AK531" s="108"/>
      <c r="AL531" s="108"/>
      <c r="AM531" s="108"/>
      <c r="AN531" s="108"/>
      <c r="AO531" s="108"/>
      <c r="AP531" s="108"/>
      <c r="AQ531" s="108"/>
      <c r="AR531" s="108" t="s">
        <v>160</v>
      </c>
      <c r="AS531" s="108" t="s">
        <v>160</v>
      </c>
      <c r="AT531" s="108"/>
      <c r="AU531" s="108"/>
      <c r="AV531" s="108"/>
      <c r="AW531" s="108"/>
      <c r="AX531" s="108"/>
      <c r="AY531" s="108"/>
      <c r="AZ531" s="108"/>
      <c r="BA531" s="108"/>
      <c r="BB531" s="108"/>
      <c r="BC531" s="108"/>
      <c r="BD531" s="108"/>
      <c r="BE531" s="108"/>
    </row>
    <row r="532" spans="1:57" x14ac:dyDescent="0.25">
      <c r="A532" s="6" t="s">
        <v>8</v>
      </c>
      <c r="B532" s="142" t="s">
        <v>2893</v>
      </c>
      <c r="C532" s="23" t="s">
        <v>850</v>
      </c>
      <c r="D532" s="24" t="s">
        <v>810</v>
      </c>
      <c r="E532" s="193">
        <v>65.789299999999997</v>
      </c>
      <c r="F532" s="193">
        <v>23.300699999999999</v>
      </c>
      <c r="G532" s="5"/>
      <c r="H532" s="9" t="s">
        <v>150</v>
      </c>
      <c r="I532" s="24" t="s">
        <v>169</v>
      </c>
      <c r="J532" s="24" t="s">
        <v>169</v>
      </c>
      <c r="K532" s="24" t="s">
        <v>6</v>
      </c>
      <c r="L532" s="24" t="s">
        <v>2055</v>
      </c>
      <c r="M532" s="7" t="s">
        <v>2653</v>
      </c>
      <c r="N532" s="19" t="s">
        <v>1108</v>
      </c>
      <c r="O532" s="42" t="s">
        <v>160</v>
      </c>
      <c r="P532" s="42" t="s">
        <v>160</v>
      </c>
      <c r="Q532" s="44" t="s">
        <v>1148</v>
      </c>
      <c r="S532" s="19" t="s">
        <v>160</v>
      </c>
      <c r="T532" s="19" t="s">
        <v>160</v>
      </c>
      <c r="U532" s="19">
        <v>2</v>
      </c>
      <c r="V532" s="19" t="s">
        <v>160</v>
      </c>
      <c r="W532" s="19" t="s">
        <v>160</v>
      </c>
      <c r="AR532" s="19" t="s">
        <v>160</v>
      </c>
      <c r="AS532" s="19" t="s">
        <v>160</v>
      </c>
      <c r="BB532" s="19"/>
      <c r="BC532" s="19"/>
      <c r="BD532" s="19"/>
      <c r="BE532" s="19"/>
    </row>
    <row r="533" spans="1:57" x14ac:dyDescent="0.25">
      <c r="A533" s="9" t="s">
        <v>706</v>
      </c>
      <c r="B533" s="140">
        <v>59</v>
      </c>
      <c r="C533" s="38" t="s">
        <v>850</v>
      </c>
      <c r="D533" s="62" t="s">
        <v>49</v>
      </c>
      <c r="E533" s="57">
        <f>65+47/60+20/3600</f>
        <v>65.788888888888891</v>
      </c>
      <c r="F533" s="57">
        <f>23+18/60+12/3600</f>
        <v>23.303333333333335</v>
      </c>
      <c r="G533" s="5"/>
      <c r="H533" s="9" t="s">
        <v>150</v>
      </c>
      <c r="I533" s="7" t="s">
        <v>169</v>
      </c>
      <c r="J533" s="7" t="s">
        <v>169</v>
      </c>
      <c r="K533" s="9" t="s">
        <v>40</v>
      </c>
      <c r="L533" s="7" t="s">
        <v>2055</v>
      </c>
      <c r="M533" s="7" t="s">
        <v>2653</v>
      </c>
      <c r="N533" s="19" t="s">
        <v>1108</v>
      </c>
      <c r="O533" s="42" t="s">
        <v>160</v>
      </c>
      <c r="P533" s="42" t="s">
        <v>160</v>
      </c>
      <c r="Q533" s="44" t="s">
        <v>1148</v>
      </c>
      <c r="S533" s="19" t="s">
        <v>160</v>
      </c>
      <c r="T533" s="19" t="s">
        <v>160</v>
      </c>
      <c r="U533" s="19">
        <v>2</v>
      </c>
      <c r="V533" s="19" t="s">
        <v>160</v>
      </c>
      <c r="W533" s="19" t="s">
        <v>160</v>
      </c>
      <c r="X533" s="19" t="s">
        <v>160</v>
      </c>
      <c r="Y533" s="19" t="s">
        <v>160</v>
      </c>
      <c r="AR533" s="19" t="s">
        <v>160</v>
      </c>
      <c r="AS533" s="19" t="s">
        <v>160</v>
      </c>
      <c r="BB533" s="19"/>
      <c r="BC533" s="19"/>
      <c r="BD533" s="19"/>
      <c r="BE533" s="19"/>
    </row>
    <row r="534" spans="1:57" x14ac:dyDescent="0.25">
      <c r="A534" s="9" t="s">
        <v>707</v>
      </c>
      <c r="B534" s="137" t="s">
        <v>346</v>
      </c>
      <c r="C534" s="23" t="s">
        <v>849</v>
      </c>
      <c r="D534" s="40" t="s">
        <v>347</v>
      </c>
      <c r="E534" s="46" t="s">
        <v>2228</v>
      </c>
      <c r="F534" s="46" t="s">
        <v>2229</v>
      </c>
      <c r="G534" s="40"/>
      <c r="H534" s="9" t="s">
        <v>150</v>
      </c>
      <c r="I534" s="41" t="s">
        <v>8</v>
      </c>
      <c r="J534" s="41" t="s">
        <v>8</v>
      </c>
      <c r="K534" s="40" t="s">
        <v>6</v>
      </c>
      <c r="L534" s="41" t="s">
        <v>2030</v>
      </c>
      <c r="M534" s="7" t="s">
        <v>2653</v>
      </c>
      <c r="N534" s="42" t="s">
        <v>1101</v>
      </c>
      <c r="O534" s="22"/>
      <c r="P534" s="42" t="s">
        <v>160</v>
      </c>
      <c r="Q534" s="44" t="s">
        <v>1097</v>
      </c>
      <c r="R534" s="44" t="s">
        <v>1594</v>
      </c>
      <c r="S534" s="19" t="s">
        <v>160</v>
      </c>
      <c r="T534" s="19" t="s">
        <v>160</v>
      </c>
      <c r="U534" s="19">
        <v>1</v>
      </c>
      <c r="V534" s="42" t="s">
        <v>160</v>
      </c>
      <c r="W534" s="42" t="s">
        <v>160</v>
      </c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  <c r="AR534" s="42"/>
      <c r="AS534" s="42"/>
      <c r="AZ534" s="42"/>
      <c r="BA534" s="42"/>
      <c r="BB534" s="42"/>
      <c r="BC534" s="42"/>
      <c r="BD534" s="42"/>
      <c r="BE534" s="42"/>
    </row>
    <row r="535" spans="1:57" x14ac:dyDescent="0.25">
      <c r="A535" s="53" t="s">
        <v>2763</v>
      </c>
      <c r="B535" s="138">
        <v>2157</v>
      </c>
      <c r="C535" s="53" t="s">
        <v>849</v>
      </c>
      <c r="D535" s="53" t="s">
        <v>2753</v>
      </c>
      <c r="E535" s="35">
        <v>65.696944000000002</v>
      </c>
      <c r="F535" s="35">
        <v>23.096111000000001</v>
      </c>
      <c r="G535" s="125"/>
      <c r="H535" s="9" t="s">
        <v>150</v>
      </c>
      <c r="I535" s="7" t="s">
        <v>8</v>
      </c>
      <c r="J535" s="53" t="s">
        <v>8</v>
      </c>
      <c r="K535" s="40" t="s">
        <v>6</v>
      </c>
      <c r="L535" s="41" t="s">
        <v>2030</v>
      </c>
      <c r="M535" s="7" t="s">
        <v>2653</v>
      </c>
      <c r="N535" s="42" t="s">
        <v>1101</v>
      </c>
      <c r="O535" s="22"/>
      <c r="P535" s="42" t="s">
        <v>160</v>
      </c>
      <c r="Q535" s="44" t="s">
        <v>1097</v>
      </c>
      <c r="R535" s="44" t="s">
        <v>1594</v>
      </c>
      <c r="S535" s="19" t="s">
        <v>160</v>
      </c>
      <c r="T535" s="19" t="s">
        <v>160</v>
      </c>
      <c r="U535" s="19">
        <v>1</v>
      </c>
      <c r="V535" s="42" t="s">
        <v>160</v>
      </c>
      <c r="W535" s="42" t="s">
        <v>160</v>
      </c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94" customFormat="1" x14ac:dyDescent="0.25">
      <c r="A536" s="105" t="s">
        <v>2773</v>
      </c>
      <c r="B536" s="139" t="s">
        <v>2795</v>
      </c>
      <c r="C536" s="110" t="s">
        <v>849</v>
      </c>
      <c r="D536" s="153" t="s">
        <v>2753</v>
      </c>
      <c r="E536" s="81">
        <f>65+41/60+49.4/3600</f>
        <v>65.697055555555565</v>
      </c>
      <c r="F536" s="81">
        <f>23+5/60+45.65/3600</f>
        <v>23.096013888888887</v>
      </c>
      <c r="G536" s="126"/>
      <c r="H536" s="105" t="s">
        <v>150</v>
      </c>
      <c r="I536" s="105" t="s">
        <v>8</v>
      </c>
      <c r="J536" s="105" t="s">
        <v>8</v>
      </c>
      <c r="K536" s="105" t="s">
        <v>6</v>
      </c>
      <c r="L536" s="105" t="s">
        <v>2030</v>
      </c>
      <c r="M536" s="105" t="s">
        <v>2653</v>
      </c>
      <c r="N536" s="106" t="s">
        <v>1101</v>
      </c>
      <c r="O536" s="104"/>
      <c r="P536" s="106" t="s">
        <v>160</v>
      </c>
      <c r="Q536" s="107" t="s">
        <v>1097</v>
      </c>
      <c r="R536" s="107" t="s">
        <v>1594</v>
      </c>
      <c r="S536" s="108" t="s">
        <v>160</v>
      </c>
      <c r="T536" s="108" t="s">
        <v>160</v>
      </c>
      <c r="U536" s="106">
        <v>1</v>
      </c>
      <c r="V536" s="103" t="s">
        <v>160</v>
      </c>
      <c r="W536" s="103" t="s">
        <v>160</v>
      </c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  <c r="BD536" s="103"/>
      <c r="BE536" s="103"/>
    </row>
    <row r="537" spans="1:57" x14ac:dyDescent="0.25">
      <c r="A537" s="7" t="s">
        <v>8</v>
      </c>
      <c r="B537" s="142" t="s">
        <v>2894</v>
      </c>
      <c r="C537" s="23" t="s">
        <v>849</v>
      </c>
      <c r="D537" t="s">
        <v>718</v>
      </c>
      <c r="E537" s="193">
        <v>65.697000000000003</v>
      </c>
      <c r="F537" s="193">
        <v>23.0962</v>
      </c>
      <c r="G537" s="164"/>
      <c r="H537" s="7" t="s">
        <v>150</v>
      </c>
      <c r="I537" s="7" t="s">
        <v>8</v>
      </c>
      <c r="J537" s="7" t="s">
        <v>8</v>
      </c>
      <c r="K537" s="7" t="s">
        <v>6</v>
      </c>
      <c r="L537" s="7" t="s">
        <v>2030</v>
      </c>
      <c r="M537" s="7" t="s">
        <v>2653</v>
      </c>
      <c r="N537" s="42" t="s">
        <v>1101</v>
      </c>
      <c r="O537" s="22"/>
      <c r="P537" s="42" t="s">
        <v>160</v>
      </c>
      <c r="Q537" s="44" t="s">
        <v>1097</v>
      </c>
      <c r="R537" s="44" t="s">
        <v>1594</v>
      </c>
      <c r="S537" s="19" t="s">
        <v>160</v>
      </c>
      <c r="T537" s="19" t="s">
        <v>160</v>
      </c>
      <c r="U537" s="42">
        <v>1</v>
      </c>
      <c r="V537" s="20" t="s">
        <v>160</v>
      </c>
      <c r="W537" s="20" t="s">
        <v>160</v>
      </c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</row>
    <row r="538" spans="1:57" x14ac:dyDescent="0.25">
      <c r="A538" s="9" t="s">
        <v>706</v>
      </c>
      <c r="B538" s="140">
        <v>161</v>
      </c>
      <c r="C538" s="23" t="s">
        <v>849</v>
      </c>
      <c r="D538" s="62" t="s">
        <v>154</v>
      </c>
      <c r="E538" s="43">
        <f>65+41/60+49/3600</f>
        <v>65.696944444444455</v>
      </c>
      <c r="F538" s="43">
        <f>23+5/60+46/3600</f>
        <v>23.09611111111111</v>
      </c>
      <c r="G538" s="43"/>
      <c r="H538" s="9" t="s">
        <v>150</v>
      </c>
      <c r="I538" s="7" t="s">
        <v>4</v>
      </c>
      <c r="J538" s="7" t="s">
        <v>4</v>
      </c>
      <c r="K538" s="9" t="s">
        <v>6</v>
      </c>
      <c r="L538" s="7" t="s">
        <v>2030</v>
      </c>
      <c r="M538" s="7" t="s">
        <v>2653</v>
      </c>
      <c r="N538" s="42" t="s">
        <v>1101</v>
      </c>
      <c r="O538" s="22"/>
      <c r="P538" s="42" t="s">
        <v>160</v>
      </c>
      <c r="Q538" s="44" t="s">
        <v>1097</v>
      </c>
      <c r="R538" s="44" t="s">
        <v>1594</v>
      </c>
      <c r="S538" s="19" t="s">
        <v>160</v>
      </c>
      <c r="T538" s="19" t="s">
        <v>160</v>
      </c>
      <c r="U538" s="19">
        <v>1</v>
      </c>
      <c r="V538" s="19" t="s">
        <v>160</v>
      </c>
      <c r="W538" s="19" t="s">
        <v>160</v>
      </c>
      <c r="BB538" s="19"/>
      <c r="BC538" s="19"/>
      <c r="BD538" s="19"/>
      <c r="BE538" s="19"/>
    </row>
    <row r="539" spans="1:57" x14ac:dyDescent="0.25">
      <c r="A539" s="9" t="s">
        <v>8</v>
      </c>
      <c r="B539" s="26">
        <v>35012</v>
      </c>
      <c r="C539" s="24" t="s">
        <v>1047</v>
      </c>
      <c r="D539" t="s">
        <v>1048</v>
      </c>
      <c r="E539" s="25">
        <f>55+37/60</f>
        <v>55.616666666666667</v>
      </c>
      <c r="F539" s="25">
        <f>12+53/60</f>
        <v>12.883333333333333</v>
      </c>
      <c r="G539" s="9"/>
      <c r="H539" s="9" t="s">
        <v>150</v>
      </c>
      <c r="I539" s="9" t="s">
        <v>8</v>
      </c>
      <c r="J539" s="7" t="s">
        <v>8</v>
      </c>
      <c r="K539" s="10" t="s">
        <v>953</v>
      </c>
      <c r="L539" s="7" t="s">
        <v>2685</v>
      </c>
      <c r="M539" s="7" t="s">
        <v>717</v>
      </c>
      <c r="N539" s="42" t="s">
        <v>1330</v>
      </c>
      <c r="O539" s="22"/>
      <c r="P539" s="42"/>
      <c r="S539" s="19" t="s">
        <v>160</v>
      </c>
      <c r="T539" s="19" t="s">
        <v>160</v>
      </c>
      <c r="U539" s="42"/>
      <c r="X539" s="19" t="s">
        <v>160</v>
      </c>
      <c r="Z539" s="19" t="s">
        <v>160</v>
      </c>
      <c r="AL539" s="19" t="s">
        <v>160</v>
      </c>
      <c r="AR539" s="19" t="s">
        <v>160</v>
      </c>
      <c r="AT539" s="19" t="s">
        <v>160</v>
      </c>
      <c r="BB539" s="19"/>
      <c r="BC539" s="19"/>
      <c r="BD539" s="19"/>
      <c r="BE539" s="19"/>
    </row>
    <row r="540" spans="1:57" s="94" customFormat="1" x14ac:dyDescent="0.25">
      <c r="A540" s="98" t="s">
        <v>2773</v>
      </c>
      <c r="B540" s="135">
        <v>2115</v>
      </c>
      <c r="C540" s="98" t="s">
        <v>1256</v>
      </c>
      <c r="D540" s="98" t="s">
        <v>1215</v>
      </c>
      <c r="E540" s="189">
        <f>60+21/60</f>
        <v>60.35</v>
      </c>
      <c r="F540" s="189">
        <f>18+15/60+36/3600</f>
        <v>18.260000000000002</v>
      </c>
      <c r="G540" s="101"/>
      <c r="H540" s="98" t="s">
        <v>150</v>
      </c>
      <c r="I540" s="98" t="s">
        <v>8</v>
      </c>
      <c r="J540" s="102" t="s">
        <v>8</v>
      </c>
      <c r="K540" s="98" t="s">
        <v>6</v>
      </c>
      <c r="L540" s="102" t="s">
        <v>2030</v>
      </c>
      <c r="M540" s="102" t="s">
        <v>717</v>
      </c>
      <c r="N540" s="104" t="s">
        <v>1289</v>
      </c>
      <c r="O540" s="104"/>
      <c r="P540" s="104"/>
      <c r="Q540" s="103" t="s">
        <v>1649</v>
      </c>
      <c r="R540" s="103"/>
      <c r="S540" s="103"/>
      <c r="T540" s="103"/>
      <c r="U540" s="104">
        <v>4</v>
      </c>
      <c r="V540" s="103" t="s">
        <v>160</v>
      </c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  <c r="BD540" s="103"/>
      <c r="BE540" s="103"/>
    </row>
    <row r="541" spans="1:57" x14ac:dyDescent="0.25">
      <c r="A541" s="10" t="s">
        <v>8</v>
      </c>
      <c r="B541" s="155">
        <v>2115</v>
      </c>
      <c r="C541" s="10" t="s">
        <v>1256</v>
      </c>
      <c r="D541" s="10" t="s">
        <v>1215</v>
      </c>
      <c r="E541" s="195">
        <v>60.35</v>
      </c>
      <c r="F541" s="195">
        <v>18.260000000000002</v>
      </c>
      <c r="G541" s="30"/>
      <c r="H541" s="10" t="s">
        <v>150</v>
      </c>
      <c r="I541" s="10" t="s">
        <v>8</v>
      </c>
      <c r="J541" s="24" t="s">
        <v>8</v>
      </c>
      <c r="K541" s="10" t="s">
        <v>6</v>
      </c>
      <c r="L541" s="24" t="s">
        <v>2030</v>
      </c>
      <c r="M541" s="24" t="s">
        <v>717</v>
      </c>
      <c r="N541" s="22" t="s">
        <v>1289</v>
      </c>
      <c r="O541" s="22"/>
      <c r="P541" s="22"/>
      <c r="Q541" s="20" t="s">
        <v>1649</v>
      </c>
      <c r="R541" s="20"/>
      <c r="S541" s="20"/>
      <c r="T541" s="20"/>
      <c r="U541" s="22">
        <v>4</v>
      </c>
      <c r="V541" s="20" t="s">
        <v>160</v>
      </c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</row>
    <row r="542" spans="1:57" x14ac:dyDescent="0.25">
      <c r="A542" s="9" t="s">
        <v>707</v>
      </c>
      <c r="B542" s="137" t="s">
        <v>352</v>
      </c>
      <c r="C542" s="23" t="s">
        <v>761</v>
      </c>
      <c r="D542" s="40" t="s">
        <v>353</v>
      </c>
      <c r="E542" s="46" t="s">
        <v>2113</v>
      </c>
      <c r="F542" s="46" t="s">
        <v>2114</v>
      </c>
      <c r="G542" s="40"/>
      <c r="H542" s="9" t="s">
        <v>150</v>
      </c>
      <c r="I542" s="41" t="s">
        <v>169</v>
      </c>
      <c r="J542" s="41" t="s">
        <v>169</v>
      </c>
      <c r="K542" s="40" t="s">
        <v>6</v>
      </c>
      <c r="L542" s="41" t="s">
        <v>2031</v>
      </c>
      <c r="M542" s="7" t="s">
        <v>2653</v>
      </c>
      <c r="N542" s="19" t="s">
        <v>1108</v>
      </c>
      <c r="O542" s="42" t="s">
        <v>160</v>
      </c>
      <c r="P542" s="42" t="s">
        <v>160</v>
      </c>
      <c r="Q542" s="44" t="s">
        <v>1199</v>
      </c>
      <c r="S542" s="19" t="s">
        <v>160</v>
      </c>
      <c r="T542" s="19" t="s">
        <v>160</v>
      </c>
      <c r="U542" s="19">
        <v>2</v>
      </c>
      <c r="V542" s="42" t="s">
        <v>160</v>
      </c>
      <c r="W542" s="42" t="s">
        <v>160</v>
      </c>
      <c r="X542" s="42" t="s">
        <v>160</v>
      </c>
      <c r="Y542" s="42" t="s">
        <v>160</v>
      </c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  <c r="AR542" s="42"/>
      <c r="AS542" s="42"/>
      <c r="AZ542" s="42"/>
      <c r="BA542" s="42"/>
      <c r="BB542" s="42"/>
      <c r="BC542" s="42"/>
      <c r="BD542" s="42"/>
      <c r="BE542" s="42"/>
    </row>
    <row r="543" spans="1:57" x14ac:dyDescent="0.25">
      <c r="A543" s="9" t="s">
        <v>707</v>
      </c>
      <c r="B543" s="39" t="s">
        <v>350</v>
      </c>
      <c r="C543" s="39" t="s">
        <v>761</v>
      </c>
      <c r="D543" s="40" t="s">
        <v>351</v>
      </c>
      <c r="E543" s="46" t="s">
        <v>2113</v>
      </c>
      <c r="F543" s="46" t="s">
        <v>2114</v>
      </c>
      <c r="G543" s="40"/>
      <c r="H543" s="9" t="s">
        <v>150</v>
      </c>
      <c r="I543" s="41" t="s">
        <v>169</v>
      </c>
      <c r="J543" s="41" t="s">
        <v>169</v>
      </c>
      <c r="K543" s="40" t="s">
        <v>5</v>
      </c>
      <c r="L543" s="41" t="s">
        <v>2043</v>
      </c>
      <c r="M543" s="7" t="s">
        <v>2653</v>
      </c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  <c r="AR543" s="42" t="s">
        <v>160</v>
      </c>
      <c r="AS543" s="42" t="s">
        <v>160</v>
      </c>
      <c r="AZ543" s="42"/>
      <c r="BA543" s="42"/>
      <c r="BB543" s="42"/>
      <c r="BC543" s="42"/>
      <c r="BD543" s="42"/>
      <c r="BE543" s="42"/>
    </row>
    <row r="544" spans="1:57" x14ac:dyDescent="0.25">
      <c r="A544" s="53" t="s">
        <v>2763</v>
      </c>
      <c r="B544" s="138">
        <v>35105</v>
      </c>
      <c r="C544" s="53" t="s">
        <v>761</v>
      </c>
      <c r="D544" s="53" t="s">
        <v>2754</v>
      </c>
      <c r="E544" s="3">
        <v>56.658948000000002</v>
      </c>
      <c r="F544" s="3">
        <v>16.378229999999999</v>
      </c>
      <c r="G544" s="53">
        <v>1.84</v>
      </c>
      <c r="H544" s="9" t="s">
        <v>150</v>
      </c>
      <c r="I544" s="7" t="s">
        <v>169</v>
      </c>
      <c r="J544" s="53" t="s">
        <v>169</v>
      </c>
      <c r="K544" s="40" t="s">
        <v>6</v>
      </c>
      <c r="L544" s="41" t="s">
        <v>2031</v>
      </c>
      <c r="M544" s="7" t="s">
        <v>2653</v>
      </c>
      <c r="N544" s="19" t="s">
        <v>1108</v>
      </c>
      <c r="O544" s="42" t="s">
        <v>160</v>
      </c>
      <c r="P544" s="42" t="s">
        <v>160</v>
      </c>
      <c r="Q544" s="44" t="s">
        <v>1199</v>
      </c>
      <c r="S544" s="19" t="s">
        <v>160</v>
      </c>
      <c r="T544" s="19" t="s">
        <v>160</v>
      </c>
      <c r="U544" s="19">
        <v>2</v>
      </c>
      <c r="V544" s="42" t="s">
        <v>160</v>
      </c>
      <c r="W544" s="42" t="s">
        <v>160</v>
      </c>
      <c r="X544" s="42" t="s">
        <v>160</v>
      </c>
      <c r="Y544" s="42" t="s">
        <v>160</v>
      </c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94" customFormat="1" x14ac:dyDescent="0.25">
      <c r="A545" s="105" t="s">
        <v>2773</v>
      </c>
      <c r="B545" s="139" t="s">
        <v>2796</v>
      </c>
      <c r="C545" s="110" t="s">
        <v>761</v>
      </c>
      <c r="D545" s="153" t="s">
        <v>50</v>
      </c>
      <c r="E545" s="82">
        <f>56+39/60+32.22/3600</f>
        <v>56.658949999999997</v>
      </c>
      <c r="F545" s="82">
        <f>16+22/60+41.6028/3600</f>
        <v>16.378223000000002</v>
      </c>
      <c r="G545" s="178">
        <v>1.84</v>
      </c>
      <c r="H545" s="105" t="s">
        <v>150</v>
      </c>
      <c r="I545" s="105" t="s">
        <v>169</v>
      </c>
      <c r="J545" s="105" t="s">
        <v>169</v>
      </c>
      <c r="K545" s="105" t="s">
        <v>40</v>
      </c>
      <c r="L545" s="105" t="s">
        <v>2055</v>
      </c>
      <c r="M545" s="105" t="s">
        <v>2653</v>
      </c>
      <c r="N545" s="108" t="s">
        <v>1108</v>
      </c>
      <c r="O545" s="106" t="s">
        <v>160</v>
      </c>
      <c r="P545" s="106" t="s">
        <v>160</v>
      </c>
      <c r="Q545" s="107" t="s">
        <v>1199</v>
      </c>
      <c r="R545" s="108"/>
      <c r="S545" s="108" t="s">
        <v>160</v>
      </c>
      <c r="T545" s="108" t="s">
        <v>160</v>
      </c>
      <c r="U545" s="106">
        <v>2</v>
      </c>
      <c r="V545" s="103" t="s">
        <v>160</v>
      </c>
      <c r="W545" s="103" t="s">
        <v>160</v>
      </c>
      <c r="X545" s="103" t="s">
        <v>160</v>
      </c>
      <c r="Y545" s="103" t="s">
        <v>160</v>
      </c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 t="s">
        <v>160</v>
      </c>
      <c r="AS545" s="103" t="s">
        <v>160</v>
      </c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  <c r="BD545" s="103"/>
      <c r="BE545" s="103"/>
    </row>
    <row r="546" spans="1:57" x14ac:dyDescent="0.25">
      <c r="A546" s="7" t="s">
        <v>8</v>
      </c>
      <c r="B546" s="142" t="s">
        <v>2895</v>
      </c>
      <c r="C546" s="23" t="s">
        <v>761</v>
      </c>
      <c r="D546" s="24" t="s">
        <v>761</v>
      </c>
      <c r="E546" s="193">
        <v>56.658900000000003</v>
      </c>
      <c r="F546" s="193">
        <v>16.378299999999999</v>
      </c>
      <c r="G546" s="43"/>
      <c r="H546" s="7" t="s">
        <v>150</v>
      </c>
      <c r="I546" s="7" t="s">
        <v>169</v>
      </c>
      <c r="J546" s="7" t="s">
        <v>169</v>
      </c>
      <c r="K546" s="7" t="s">
        <v>40</v>
      </c>
      <c r="L546" s="7" t="s">
        <v>2055</v>
      </c>
      <c r="M546" s="7" t="s">
        <v>2653</v>
      </c>
      <c r="N546" s="19" t="s">
        <v>1108</v>
      </c>
      <c r="O546" s="42" t="s">
        <v>160</v>
      </c>
      <c r="P546" s="42" t="s">
        <v>160</v>
      </c>
      <c r="Q546" s="44" t="s">
        <v>1199</v>
      </c>
      <c r="S546" s="19" t="s">
        <v>160</v>
      </c>
      <c r="T546" s="19" t="s">
        <v>160</v>
      </c>
      <c r="U546" s="42">
        <v>2</v>
      </c>
      <c r="V546" s="20" t="s">
        <v>160</v>
      </c>
      <c r="W546" s="20" t="s">
        <v>160</v>
      </c>
      <c r="X546" s="20" t="s">
        <v>160</v>
      </c>
      <c r="Y546" s="20" t="s">
        <v>160</v>
      </c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 t="s">
        <v>160</v>
      </c>
      <c r="AS546" s="20" t="s">
        <v>160</v>
      </c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</row>
    <row r="547" spans="1:57" x14ac:dyDescent="0.25">
      <c r="A547" s="9" t="s">
        <v>706</v>
      </c>
      <c r="B547" s="140">
        <v>60</v>
      </c>
      <c r="C547" s="23" t="s">
        <v>761</v>
      </c>
      <c r="D547" s="62" t="s">
        <v>50</v>
      </c>
      <c r="E547" s="3">
        <f>56+39/60+32/3600</f>
        <v>56.658888888888889</v>
      </c>
      <c r="F547" s="3">
        <f>16+22/60+42/3600</f>
        <v>16.378333333333334</v>
      </c>
      <c r="H547" s="9" t="s">
        <v>150</v>
      </c>
      <c r="I547" s="7" t="s">
        <v>169</v>
      </c>
      <c r="J547" s="7" t="s">
        <v>169</v>
      </c>
      <c r="K547" s="9" t="s">
        <v>40</v>
      </c>
      <c r="L547" s="7" t="s">
        <v>2055</v>
      </c>
      <c r="M547" s="7" t="s">
        <v>2653</v>
      </c>
      <c r="N547" s="19" t="s">
        <v>1108</v>
      </c>
      <c r="O547" s="42" t="s">
        <v>160</v>
      </c>
      <c r="P547" s="42" t="s">
        <v>160</v>
      </c>
      <c r="Q547" s="44" t="s">
        <v>1199</v>
      </c>
      <c r="S547" s="19" t="s">
        <v>160</v>
      </c>
      <c r="T547" s="19" t="s">
        <v>160</v>
      </c>
      <c r="U547" s="19">
        <v>2</v>
      </c>
      <c r="V547" s="19" t="s">
        <v>160</v>
      </c>
      <c r="W547" s="19" t="s">
        <v>160</v>
      </c>
      <c r="X547" s="19" t="s">
        <v>160</v>
      </c>
      <c r="Y547" s="19" t="s">
        <v>160</v>
      </c>
      <c r="AR547" s="19" t="s">
        <v>160</v>
      </c>
      <c r="AS547" s="19" t="s">
        <v>160</v>
      </c>
      <c r="BB547" s="19"/>
      <c r="BC547" s="19"/>
      <c r="BD547" s="19"/>
      <c r="BE547" s="19"/>
    </row>
    <row r="548" spans="1:57" s="94" customFormat="1" x14ac:dyDescent="0.25">
      <c r="A548" s="98" t="s">
        <v>2773</v>
      </c>
      <c r="B548" s="135">
        <v>2086</v>
      </c>
      <c r="C548" s="98" t="s">
        <v>2249</v>
      </c>
      <c r="D548" s="153" t="s">
        <v>50</v>
      </c>
      <c r="E548" s="189">
        <f>56+39/60+36/3600</f>
        <v>56.66</v>
      </c>
      <c r="F548" s="189">
        <f>16+22/60+12/3600</f>
        <v>16.37</v>
      </c>
      <c r="G548" s="101"/>
      <c r="H548" s="98" t="s">
        <v>150</v>
      </c>
      <c r="I548" s="98" t="s">
        <v>8</v>
      </c>
      <c r="J548" s="102" t="s">
        <v>8</v>
      </c>
      <c r="K548" s="98" t="s">
        <v>6</v>
      </c>
      <c r="L548" s="102" t="s">
        <v>2030</v>
      </c>
      <c r="M548" s="102" t="s">
        <v>717</v>
      </c>
      <c r="N548" s="104" t="s">
        <v>1306</v>
      </c>
      <c r="O548" s="104"/>
      <c r="P548" s="104"/>
      <c r="Q548" s="107" t="s">
        <v>1199</v>
      </c>
      <c r="R548" s="103"/>
      <c r="S548" s="103"/>
      <c r="T548" s="103"/>
      <c r="U548" s="104">
        <v>4</v>
      </c>
      <c r="V548" s="103" t="s">
        <v>160</v>
      </c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  <c r="BD548" s="103"/>
      <c r="BE548" s="103"/>
    </row>
    <row r="549" spans="1:57" x14ac:dyDescent="0.25">
      <c r="A549" s="10" t="s">
        <v>8</v>
      </c>
      <c r="B549" s="155">
        <v>2086</v>
      </c>
      <c r="C549" s="10" t="s">
        <v>2249</v>
      </c>
      <c r="D549" s="10" t="s">
        <v>761</v>
      </c>
      <c r="E549" s="194">
        <v>56.66</v>
      </c>
      <c r="F549" s="194">
        <v>16.37</v>
      </c>
      <c r="G549" s="30"/>
      <c r="H549" s="10" t="s">
        <v>150</v>
      </c>
      <c r="I549" s="10" t="s">
        <v>8</v>
      </c>
      <c r="J549" s="24" t="s">
        <v>8</v>
      </c>
      <c r="K549" s="10" t="s">
        <v>6</v>
      </c>
      <c r="L549" s="24" t="s">
        <v>2030</v>
      </c>
      <c r="M549" s="24" t="s">
        <v>717</v>
      </c>
      <c r="N549" s="22" t="s">
        <v>1306</v>
      </c>
      <c r="O549" s="22"/>
      <c r="P549" s="22"/>
      <c r="Q549" s="44" t="s">
        <v>1199</v>
      </c>
      <c r="R549" s="20"/>
      <c r="S549" s="20"/>
      <c r="T549" s="20"/>
      <c r="U549" s="22">
        <v>4</v>
      </c>
      <c r="V549" s="20" t="s">
        <v>160</v>
      </c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</row>
    <row r="550" spans="1:57" x14ac:dyDescent="0.25">
      <c r="A550" s="9" t="s">
        <v>8</v>
      </c>
      <c r="B550" s="27">
        <v>37213</v>
      </c>
      <c r="C550" s="28" t="s">
        <v>1932</v>
      </c>
      <c r="D550" s="28" t="s">
        <v>761</v>
      </c>
      <c r="E550" s="25">
        <v>56.65</v>
      </c>
      <c r="F550" s="25">
        <v>16.383299999999998</v>
      </c>
      <c r="H550" s="10" t="s">
        <v>150</v>
      </c>
      <c r="I550" s="10" t="s">
        <v>8</v>
      </c>
      <c r="J550" s="24" t="s">
        <v>8</v>
      </c>
      <c r="K550" s="6" t="s">
        <v>2455</v>
      </c>
      <c r="L550" s="7" t="s">
        <v>2027</v>
      </c>
      <c r="M550" s="28" t="s">
        <v>717</v>
      </c>
      <c r="N550" s="19" t="s">
        <v>1839</v>
      </c>
      <c r="O550" s="22"/>
      <c r="T550" s="7"/>
      <c r="X550" s="19" t="s">
        <v>160</v>
      </c>
      <c r="BA550" s="7"/>
      <c r="BB550" s="7"/>
      <c r="BC550" s="7"/>
      <c r="BD550" s="7"/>
      <c r="BE550" s="7"/>
    </row>
    <row r="551" spans="1:57" x14ac:dyDescent="0.25">
      <c r="A551" s="6" t="s">
        <v>8</v>
      </c>
      <c r="B551" s="9">
        <v>66430</v>
      </c>
      <c r="C551" s="9" t="s">
        <v>2248</v>
      </c>
      <c r="D551" s="9" t="s">
        <v>761</v>
      </c>
      <c r="E551" s="3">
        <v>56.726999999999997</v>
      </c>
      <c r="F551" s="3">
        <v>16.2944</v>
      </c>
      <c r="G551" s="9">
        <v>15</v>
      </c>
      <c r="H551" s="9" t="s">
        <v>150</v>
      </c>
      <c r="I551" s="6" t="s">
        <v>8</v>
      </c>
      <c r="J551" s="21" t="s">
        <v>8</v>
      </c>
      <c r="K551" s="3" t="s">
        <v>5</v>
      </c>
      <c r="L551" s="5" t="s">
        <v>2680</v>
      </c>
      <c r="M551" s="7" t="s">
        <v>717</v>
      </c>
      <c r="N551" s="19" t="s">
        <v>2493</v>
      </c>
      <c r="O551" s="22"/>
      <c r="P551" s="19" t="s">
        <v>160</v>
      </c>
      <c r="AR551" s="19" t="s">
        <v>160</v>
      </c>
      <c r="AT551" s="19" t="s">
        <v>160</v>
      </c>
      <c r="AV551" s="19" t="s">
        <v>160</v>
      </c>
      <c r="AX551" s="19" t="s">
        <v>160</v>
      </c>
      <c r="AZ551" s="19" t="s">
        <v>160</v>
      </c>
      <c r="BB551" s="19"/>
      <c r="BC551" s="19"/>
      <c r="BD551" s="19"/>
      <c r="BE551" s="19"/>
    </row>
    <row r="552" spans="1:57" s="94" customFormat="1" x14ac:dyDescent="0.25">
      <c r="A552" s="9" t="s">
        <v>707</v>
      </c>
      <c r="B552" s="39" t="s">
        <v>348</v>
      </c>
      <c r="C552" s="39" t="s">
        <v>903</v>
      </c>
      <c r="D552" s="40" t="s">
        <v>349</v>
      </c>
      <c r="E552" s="57" t="s">
        <v>2115</v>
      </c>
      <c r="F552" s="57" t="s">
        <v>2116</v>
      </c>
      <c r="G552" s="40"/>
      <c r="H552" s="9" t="s">
        <v>150</v>
      </c>
      <c r="I552" s="41" t="s">
        <v>169</v>
      </c>
      <c r="J552" s="41" t="s">
        <v>169</v>
      </c>
      <c r="K552" s="40" t="s">
        <v>951</v>
      </c>
      <c r="L552" s="41" t="s">
        <v>2045</v>
      </c>
      <c r="M552" s="7" t="s">
        <v>2653</v>
      </c>
      <c r="N552" s="19"/>
      <c r="O552" s="19"/>
      <c r="P552" s="19"/>
      <c r="Q552" s="19"/>
      <c r="R552" s="19"/>
      <c r="S552" s="19"/>
      <c r="T552" s="19"/>
      <c r="U552" s="19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42" t="s">
        <v>160</v>
      </c>
      <c r="AM552" s="42" t="s">
        <v>160</v>
      </c>
      <c r="AN552" s="42"/>
      <c r="AO552" s="42"/>
      <c r="AP552" s="42"/>
      <c r="AQ552" s="42"/>
      <c r="AR552" s="42"/>
      <c r="AS552" s="42"/>
      <c r="AT552" s="19"/>
      <c r="AU552" s="19"/>
      <c r="AV552" s="19"/>
      <c r="AW552" s="19"/>
      <c r="AX552" s="19"/>
      <c r="AY552" s="19"/>
      <c r="AZ552" s="42"/>
      <c r="BA552" s="42"/>
      <c r="BB552" s="42"/>
      <c r="BC552" s="42"/>
      <c r="BD552" s="42"/>
      <c r="BE552" s="42"/>
    </row>
    <row r="553" spans="1:57" x14ac:dyDescent="0.25">
      <c r="A553" s="114" t="s">
        <v>2773</v>
      </c>
      <c r="B553" s="110" t="s">
        <v>2896</v>
      </c>
      <c r="C553" s="110" t="s">
        <v>903</v>
      </c>
      <c r="D553" s="153" t="s">
        <v>811</v>
      </c>
      <c r="E553" s="148">
        <f>56+40/60+16.6188/3600</f>
        <v>56.671282999999995</v>
      </c>
      <c r="F553" s="148">
        <f>16+23/60+19.68/3600</f>
        <v>16.3888</v>
      </c>
      <c r="G553" s="93"/>
      <c r="H553" s="94" t="s">
        <v>150</v>
      </c>
      <c r="I553" s="102" t="s">
        <v>169</v>
      </c>
      <c r="J553" s="102" t="s">
        <v>169</v>
      </c>
      <c r="K553" s="102" t="s">
        <v>951</v>
      </c>
      <c r="L553" s="102" t="s">
        <v>2045</v>
      </c>
      <c r="M553" s="105" t="s">
        <v>2653</v>
      </c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  <c r="AA553" s="108"/>
      <c r="AB553" s="108"/>
      <c r="AC553" s="108"/>
      <c r="AD553" s="108"/>
      <c r="AE553" s="108"/>
      <c r="AF553" s="108"/>
      <c r="AG553" s="108"/>
      <c r="AH553" s="108"/>
      <c r="AI553" s="108"/>
      <c r="AJ553" s="108"/>
      <c r="AK553" s="108"/>
      <c r="AL553" s="108" t="s">
        <v>160</v>
      </c>
      <c r="AM553" s="108" t="s">
        <v>160</v>
      </c>
      <c r="AN553" s="108"/>
      <c r="AO553" s="108"/>
      <c r="AP553" s="108"/>
      <c r="AQ553" s="108"/>
      <c r="AR553" s="108"/>
      <c r="AS553" s="108"/>
      <c r="AT553" s="108"/>
      <c r="AU553" s="108"/>
      <c r="AV553" s="108"/>
      <c r="AW553" s="108"/>
      <c r="AX553" s="108"/>
      <c r="AY553" s="108"/>
      <c r="AZ553" s="108"/>
      <c r="BA553" s="108"/>
      <c r="BB553" s="108"/>
      <c r="BC553" s="108"/>
      <c r="BD553" s="108"/>
      <c r="BE553" s="108"/>
    </row>
    <row r="554" spans="1:57" x14ac:dyDescent="0.25">
      <c r="A554" s="6" t="s">
        <v>8</v>
      </c>
      <c r="B554" s="23">
        <v>35106</v>
      </c>
      <c r="C554" s="23" t="s">
        <v>903</v>
      </c>
      <c r="D554" s="24" t="s">
        <v>811</v>
      </c>
      <c r="E554" s="57">
        <f>56+40/60+16.6188/3600</f>
        <v>56.671282999999995</v>
      </c>
      <c r="F554" s="57">
        <f>16+23/60+19.68/3600</f>
        <v>16.3888</v>
      </c>
      <c r="G554" s="5"/>
      <c r="H554" s="9" t="s">
        <v>150</v>
      </c>
      <c r="I554" s="24" t="s">
        <v>169</v>
      </c>
      <c r="J554" s="24" t="s">
        <v>169</v>
      </c>
      <c r="K554" s="24" t="s">
        <v>951</v>
      </c>
      <c r="L554" s="24" t="s">
        <v>2045</v>
      </c>
      <c r="M554" s="7" t="s">
        <v>2653</v>
      </c>
      <c r="AL554" s="19" t="s">
        <v>160</v>
      </c>
      <c r="AM554" s="19" t="s">
        <v>160</v>
      </c>
      <c r="BB554" s="19"/>
      <c r="BC554" s="19"/>
      <c r="BD554" s="19"/>
      <c r="BE554" s="19"/>
    </row>
    <row r="555" spans="1:57" x14ac:dyDescent="0.25">
      <c r="A555" s="9" t="s">
        <v>706</v>
      </c>
      <c r="B555" s="39">
        <v>60</v>
      </c>
      <c r="C555" s="39" t="s">
        <v>903</v>
      </c>
      <c r="D555" s="62" t="s">
        <v>50</v>
      </c>
      <c r="E555" s="57">
        <f>56+39/60+32/3600</f>
        <v>56.658888888888889</v>
      </c>
      <c r="F555" s="57">
        <f>16+22/60+42/3600</f>
        <v>16.378333333333334</v>
      </c>
      <c r="G555" s="40"/>
      <c r="H555" s="9" t="s">
        <v>150</v>
      </c>
      <c r="I555" s="41" t="s">
        <v>169</v>
      </c>
      <c r="J555" s="41" t="s">
        <v>169</v>
      </c>
      <c r="K555" s="40" t="s">
        <v>951</v>
      </c>
      <c r="L555" s="41" t="s">
        <v>2045</v>
      </c>
      <c r="M555" s="7" t="s">
        <v>2653</v>
      </c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2" t="s">
        <v>160</v>
      </c>
      <c r="AM555" s="42" t="s">
        <v>160</v>
      </c>
      <c r="AN555" s="42"/>
      <c r="AO555" s="42"/>
      <c r="AP555" s="42"/>
      <c r="AQ555" s="42"/>
      <c r="AR555" s="42"/>
      <c r="AS555" s="42"/>
      <c r="AZ555" s="42"/>
      <c r="BA555" s="42"/>
      <c r="BB555" s="42"/>
      <c r="BC555" s="42"/>
      <c r="BD555" s="42"/>
      <c r="BE555" s="42"/>
    </row>
    <row r="556" spans="1:57" x14ac:dyDescent="0.25">
      <c r="A556" s="6" t="s">
        <v>8</v>
      </c>
      <c r="B556" s="9">
        <v>66420</v>
      </c>
      <c r="C556" s="9" t="s">
        <v>2445</v>
      </c>
      <c r="D556" s="9" t="s">
        <v>1429</v>
      </c>
      <c r="E556" s="3">
        <v>56.678400000000003</v>
      </c>
      <c r="F556" s="3">
        <v>16.292200000000001</v>
      </c>
      <c r="G556" s="9">
        <v>6</v>
      </c>
      <c r="H556" s="9"/>
      <c r="I556" s="21" t="s">
        <v>8</v>
      </c>
      <c r="J556" s="21" t="s">
        <v>8</v>
      </c>
      <c r="K556" s="3" t="s">
        <v>5</v>
      </c>
      <c r="L556" s="5" t="s">
        <v>2680</v>
      </c>
      <c r="M556" s="7" t="s">
        <v>2653</v>
      </c>
      <c r="N556" s="19" t="s">
        <v>2494</v>
      </c>
      <c r="O556" s="22"/>
      <c r="P556" s="19" t="s">
        <v>160</v>
      </c>
      <c r="AR556" s="19" t="s">
        <v>160</v>
      </c>
      <c r="AS556" s="19" t="s">
        <v>160</v>
      </c>
      <c r="AT556" s="19" t="s">
        <v>160</v>
      </c>
      <c r="AU556" s="19" t="s">
        <v>160</v>
      </c>
      <c r="AV556" s="19" t="s">
        <v>160</v>
      </c>
      <c r="AW556" s="19" t="s">
        <v>160</v>
      </c>
      <c r="AX556" s="19" t="s">
        <v>160</v>
      </c>
      <c r="AY556" s="19" t="s">
        <v>160</v>
      </c>
      <c r="AZ556" s="19" t="s">
        <v>160</v>
      </c>
      <c r="BA556" s="19" t="s">
        <v>160</v>
      </c>
      <c r="BB556" s="19"/>
      <c r="BC556" s="19"/>
      <c r="BD556" s="19"/>
      <c r="BE556" s="19"/>
    </row>
    <row r="557" spans="1:57" x14ac:dyDescent="0.25">
      <c r="A557" s="9" t="s">
        <v>8</v>
      </c>
      <c r="B557" s="26">
        <v>35061</v>
      </c>
      <c r="C557" s="24" t="s">
        <v>1077</v>
      </c>
      <c r="D557" s="24" t="s">
        <v>1077</v>
      </c>
      <c r="E557" s="57">
        <v>56.666699999999999</v>
      </c>
      <c r="F557" s="57">
        <v>16.383299999999998</v>
      </c>
      <c r="G557" s="9"/>
      <c r="H557" s="9" t="s">
        <v>150</v>
      </c>
      <c r="I557" s="9" t="s">
        <v>8</v>
      </c>
      <c r="J557" s="7" t="s">
        <v>8</v>
      </c>
      <c r="K557" s="10" t="s">
        <v>951</v>
      </c>
      <c r="L557" s="7" t="s">
        <v>2045</v>
      </c>
      <c r="M557" s="7" t="s">
        <v>717</v>
      </c>
      <c r="N557" s="42" t="s">
        <v>1359</v>
      </c>
      <c r="O557" s="22"/>
      <c r="P557" s="42" t="s">
        <v>160</v>
      </c>
      <c r="S557" s="42" t="s">
        <v>160</v>
      </c>
      <c r="T557" s="19" t="s">
        <v>160</v>
      </c>
      <c r="U557" s="42"/>
      <c r="AL557" s="19" t="s">
        <v>160</v>
      </c>
      <c r="BB557" s="19"/>
      <c r="BC557" s="19"/>
      <c r="BD557" s="19"/>
      <c r="BE557" s="19"/>
    </row>
    <row r="558" spans="1:57" x14ac:dyDescent="0.25">
      <c r="A558" s="9" t="s">
        <v>707</v>
      </c>
      <c r="B558" s="39" t="s">
        <v>387</v>
      </c>
      <c r="C558" s="39" t="s">
        <v>907</v>
      </c>
      <c r="D558" s="40" t="s">
        <v>388</v>
      </c>
      <c r="E558" s="46" t="s">
        <v>2207</v>
      </c>
      <c r="F558" s="46" t="s">
        <v>2208</v>
      </c>
      <c r="G558" s="40"/>
      <c r="H558" s="9" t="s">
        <v>150</v>
      </c>
      <c r="I558" s="41" t="s">
        <v>169</v>
      </c>
      <c r="J558" s="41" t="s">
        <v>169</v>
      </c>
      <c r="K558" s="40" t="s">
        <v>5</v>
      </c>
      <c r="L558" s="41" t="s">
        <v>2041</v>
      </c>
      <c r="M558" s="7" t="s">
        <v>2653</v>
      </c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  <c r="AO558" s="42"/>
      <c r="AP558" s="42"/>
      <c r="AQ558" s="42"/>
      <c r="AR558" s="42"/>
      <c r="AS558" s="42"/>
      <c r="AZ558" s="42" t="s">
        <v>160</v>
      </c>
      <c r="BA558" s="42" t="s">
        <v>160</v>
      </c>
      <c r="BB558" s="42"/>
      <c r="BC558" s="42"/>
      <c r="BD558" s="42"/>
      <c r="BE558" s="42"/>
    </row>
    <row r="559" spans="1:57" s="105" customFormat="1" x14ac:dyDescent="0.25">
      <c r="A559" s="105" t="s">
        <v>2773</v>
      </c>
      <c r="B559" s="182" t="s">
        <v>3040</v>
      </c>
      <c r="C559" s="102" t="s">
        <v>907</v>
      </c>
      <c r="D559" s="102" t="s">
        <v>2709</v>
      </c>
      <c r="E559" s="84">
        <f>60+9.6239/60</f>
        <v>60.160398333333333</v>
      </c>
      <c r="F559" s="84">
        <f>18+32.05355/60</f>
        <v>18.534225833333334</v>
      </c>
      <c r="H559" s="105" t="s">
        <v>150</v>
      </c>
      <c r="I559" s="105" t="s">
        <v>169</v>
      </c>
      <c r="J559" s="105" t="s">
        <v>169</v>
      </c>
      <c r="K559" s="102" t="s">
        <v>5</v>
      </c>
      <c r="L559" s="105" t="s">
        <v>2041</v>
      </c>
      <c r="M559" s="105" t="s">
        <v>2653</v>
      </c>
      <c r="N559" s="106"/>
      <c r="O559" s="104"/>
      <c r="P559" s="106"/>
      <c r="Q559" s="108"/>
      <c r="R559" s="108"/>
      <c r="S559" s="106"/>
      <c r="T559" s="108"/>
      <c r="U559" s="106"/>
      <c r="V559" s="108"/>
      <c r="W559" s="108"/>
      <c r="X559" s="108"/>
      <c r="Y559" s="108"/>
      <c r="Z559" s="108"/>
      <c r="AA559" s="108"/>
      <c r="AB559" s="108"/>
      <c r="AC559" s="108"/>
      <c r="AD559" s="108"/>
      <c r="AE559" s="108"/>
      <c r="AF559" s="108"/>
      <c r="AG559" s="108"/>
      <c r="AH559" s="108"/>
      <c r="AI559" s="108"/>
      <c r="AJ559" s="108"/>
      <c r="AK559" s="108"/>
      <c r="AL559" s="108"/>
      <c r="AM559" s="108"/>
      <c r="AN559" s="108"/>
      <c r="AO559" s="108"/>
      <c r="AP559" s="108"/>
      <c r="AQ559" s="108"/>
      <c r="AR559" s="108"/>
      <c r="AS559" s="108"/>
      <c r="AT559" s="108"/>
      <c r="AU559" s="108"/>
      <c r="AV559" s="108"/>
      <c r="AW559" s="108"/>
      <c r="AX559" s="108"/>
      <c r="AY559" s="108"/>
      <c r="AZ559" s="108" t="s">
        <v>160</v>
      </c>
      <c r="BA559" s="108" t="s">
        <v>160</v>
      </c>
      <c r="BB559" s="108"/>
      <c r="BC559" s="108"/>
      <c r="BD559" s="108"/>
      <c r="BE559" s="108"/>
    </row>
    <row r="560" spans="1:57" s="7" customFormat="1" x14ac:dyDescent="0.25">
      <c r="A560" s="7" t="s">
        <v>8</v>
      </c>
      <c r="B560" s="34" t="s">
        <v>875</v>
      </c>
      <c r="C560" s="24" t="s">
        <v>907</v>
      </c>
      <c r="D560" s="24" t="s">
        <v>2709</v>
      </c>
      <c r="E560" s="25">
        <f>60+9.6239/60</f>
        <v>60.160398333333333</v>
      </c>
      <c r="F560" s="25">
        <f>18+32.05355/60</f>
        <v>18.534225833333334</v>
      </c>
      <c r="H560" s="7" t="s">
        <v>150</v>
      </c>
      <c r="I560" s="7" t="s">
        <v>169</v>
      </c>
      <c r="J560" s="7" t="s">
        <v>169</v>
      </c>
      <c r="K560" s="24" t="s">
        <v>5</v>
      </c>
      <c r="L560" s="7" t="s">
        <v>2041</v>
      </c>
      <c r="M560" s="7" t="s">
        <v>2653</v>
      </c>
      <c r="N560" s="42"/>
      <c r="O560" s="22"/>
      <c r="P560" s="42"/>
      <c r="Q560" s="19"/>
      <c r="R560" s="19"/>
      <c r="S560" s="42"/>
      <c r="T560" s="19"/>
      <c r="U560" s="42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 t="s">
        <v>160</v>
      </c>
      <c r="BA560" s="19" t="s">
        <v>160</v>
      </c>
      <c r="BB560" s="19"/>
      <c r="BC560" s="19"/>
      <c r="BD560" s="19"/>
      <c r="BE560" s="19"/>
    </row>
    <row r="561" spans="1:57" x14ac:dyDescent="0.25">
      <c r="A561" s="9" t="s">
        <v>706</v>
      </c>
      <c r="B561" s="38">
        <v>116</v>
      </c>
      <c r="C561" s="38" t="s">
        <v>907</v>
      </c>
      <c r="D561" s="62" t="s">
        <v>58</v>
      </c>
      <c r="E561" s="5">
        <f>60+9/60+37/3600</f>
        <v>60.160277777777779</v>
      </c>
      <c r="F561" s="5">
        <f>18+32/60+3/3600</f>
        <v>18.534166666666668</v>
      </c>
      <c r="G561" s="9"/>
      <c r="H561" s="9" t="s">
        <v>150</v>
      </c>
      <c r="I561" s="7" t="s">
        <v>169</v>
      </c>
      <c r="J561" s="7" t="s">
        <v>169</v>
      </c>
      <c r="K561" s="9" t="s">
        <v>5</v>
      </c>
      <c r="L561" s="7" t="s">
        <v>2041</v>
      </c>
      <c r="M561" s="7" t="s">
        <v>2653</v>
      </c>
      <c r="AZ561" s="19" t="s">
        <v>160</v>
      </c>
      <c r="BA561" s="19" t="s">
        <v>160</v>
      </c>
      <c r="BB561" s="19"/>
      <c r="BC561" s="19"/>
      <c r="BD561" s="19"/>
      <c r="BE561" s="19"/>
    </row>
    <row r="562" spans="1:57" s="94" customFormat="1" x14ac:dyDescent="0.25">
      <c r="A562" s="9" t="s">
        <v>707</v>
      </c>
      <c r="B562" s="39" t="s">
        <v>354</v>
      </c>
      <c r="C562" s="38" t="s">
        <v>905</v>
      </c>
      <c r="D562" s="40" t="s">
        <v>355</v>
      </c>
      <c r="E562" s="46" t="s">
        <v>357</v>
      </c>
      <c r="F562" s="46" t="s">
        <v>356</v>
      </c>
      <c r="G562" s="40"/>
      <c r="H562" s="9" t="s">
        <v>150</v>
      </c>
      <c r="I562" s="41" t="s">
        <v>2639</v>
      </c>
      <c r="J562" s="7" t="s">
        <v>169</v>
      </c>
      <c r="K562" s="40" t="s">
        <v>5</v>
      </c>
      <c r="L562" s="41" t="s">
        <v>2043</v>
      </c>
      <c r="M562" s="7" t="s">
        <v>2653</v>
      </c>
      <c r="N562" s="19"/>
      <c r="O562" s="19"/>
      <c r="P562" s="19"/>
      <c r="Q562" s="19"/>
      <c r="R562" s="19"/>
      <c r="S562" s="19"/>
      <c r="T562" s="19"/>
      <c r="U562" s="19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  <c r="AO562" s="42"/>
      <c r="AP562" s="42"/>
      <c r="AQ562" s="42"/>
      <c r="AR562" s="42" t="s">
        <v>160</v>
      </c>
      <c r="AS562" s="42" t="s">
        <v>160</v>
      </c>
      <c r="AT562" s="19"/>
      <c r="AU562" s="19"/>
      <c r="AV562" s="19"/>
      <c r="AW562" s="19"/>
      <c r="AX562" s="19"/>
      <c r="AY562" s="19"/>
      <c r="AZ562" s="42"/>
      <c r="BA562" s="42"/>
      <c r="BB562" s="42"/>
      <c r="BC562" s="42"/>
      <c r="BD562" s="42"/>
      <c r="BE562" s="42"/>
    </row>
    <row r="563" spans="1:57" x14ac:dyDescent="0.25">
      <c r="A563" s="114" t="s">
        <v>2773</v>
      </c>
      <c r="B563" s="110" t="s">
        <v>2898</v>
      </c>
      <c r="C563" s="109" t="s">
        <v>905</v>
      </c>
      <c r="D563" s="153" t="s">
        <v>2953</v>
      </c>
      <c r="E563" s="93">
        <f>59+43/60+27.9588/3600</f>
        <v>59.724433000000005</v>
      </c>
      <c r="F563" s="93">
        <f>19+3/60+56.7468/3600</f>
        <v>19.065763</v>
      </c>
      <c r="G563" s="93"/>
      <c r="H563" s="94" t="s">
        <v>150</v>
      </c>
      <c r="I563" s="102" t="s">
        <v>169</v>
      </c>
      <c r="J563" s="102" t="s">
        <v>169</v>
      </c>
      <c r="K563" s="102" t="s">
        <v>5</v>
      </c>
      <c r="L563" s="102" t="s">
        <v>2043</v>
      </c>
      <c r="M563" s="105" t="s">
        <v>2653</v>
      </c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  <c r="AA563" s="108"/>
      <c r="AB563" s="108"/>
      <c r="AC563" s="108"/>
      <c r="AD563" s="108"/>
      <c r="AE563" s="108"/>
      <c r="AF563" s="108"/>
      <c r="AG563" s="108"/>
      <c r="AH563" s="108"/>
      <c r="AI563" s="108"/>
      <c r="AJ563" s="108"/>
      <c r="AK563" s="108"/>
      <c r="AL563" s="108"/>
      <c r="AM563" s="108"/>
      <c r="AN563" s="108"/>
      <c r="AO563" s="108"/>
      <c r="AP563" s="108"/>
      <c r="AQ563" s="108"/>
      <c r="AR563" s="108" t="s">
        <v>160</v>
      </c>
      <c r="AS563" s="108" t="s">
        <v>160</v>
      </c>
      <c r="AT563" s="108"/>
      <c r="AU563" s="108"/>
      <c r="AV563" s="108"/>
      <c r="AW563" s="108"/>
      <c r="AX563" s="108"/>
      <c r="AY563" s="108"/>
      <c r="AZ563" s="108"/>
      <c r="BA563" s="108"/>
      <c r="BB563" s="108"/>
      <c r="BC563" s="108"/>
      <c r="BD563" s="108"/>
      <c r="BE563" s="108"/>
    </row>
    <row r="564" spans="1:57" x14ac:dyDescent="0.25">
      <c r="A564" s="6" t="s">
        <v>8</v>
      </c>
      <c r="B564" s="23">
        <v>35157</v>
      </c>
      <c r="C564" s="38" t="s">
        <v>905</v>
      </c>
      <c r="D564" s="24" t="s">
        <v>812</v>
      </c>
      <c r="E564" s="5">
        <f>59+43/60+27.9588/3600</f>
        <v>59.724433000000005</v>
      </c>
      <c r="F564" s="5">
        <f>19+3/60+56.7468/3600</f>
        <v>19.065763</v>
      </c>
      <c r="G564" s="5"/>
      <c r="H564" s="9" t="s">
        <v>150</v>
      </c>
      <c r="I564" s="24" t="s">
        <v>169</v>
      </c>
      <c r="J564" s="24" t="s">
        <v>169</v>
      </c>
      <c r="K564" s="24" t="s">
        <v>5</v>
      </c>
      <c r="L564" s="24" t="s">
        <v>2043</v>
      </c>
      <c r="M564" s="7" t="s">
        <v>2653</v>
      </c>
      <c r="AR564" s="19" t="s">
        <v>160</v>
      </c>
      <c r="AS564" s="19" t="s">
        <v>160</v>
      </c>
      <c r="BB564" s="19"/>
      <c r="BC564" s="19"/>
      <c r="BD564" s="19"/>
      <c r="BE564" s="19"/>
    </row>
    <row r="565" spans="1:57" x14ac:dyDescent="0.25">
      <c r="A565" s="9" t="s">
        <v>706</v>
      </c>
      <c r="B565" s="38">
        <v>104</v>
      </c>
      <c r="C565" s="38" t="s">
        <v>905</v>
      </c>
      <c r="D565" s="62" t="s">
        <v>2708</v>
      </c>
      <c r="E565" s="3">
        <f>59+43/60+28/3600</f>
        <v>59.724444444444444</v>
      </c>
      <c r="F565" s="3">
        <f>19+3/60+57/3600</f>
        <v>19.065833333333334</v>
      </c>
      <c r="G565" s="5"/>
      <c r="H565" s="9" t="s">
        <v>150</v>
      </c>
      <c r="I565" s="41" t="s">
        <v>2639</v>
      </c>
      <c r="J565" s="24" t="s">
        <v>169</v>
      </c>
      <c r="K565" s="9" t="s">
        <v>5</v>
      </c>
      <c r="L565" s="7" t="s">
        <v>2043</v>
      </c>
      <c r="M565" s="7" t="s">
        <v>2653</v>
      </c>
      <c r="AR565" s="19" t="s">
        <v>160</v>
      </c>
      <c r="AS565" s="19" t="s">
        <v>160</v>
      </c>
      <c r="BB565" s="19"/>
      <c r="BC565" s="19"/>
      <c r="BD565" s="19"/>
      <c r="BE565" s="19"/>
    </row>
    <row r="566" spans="1:57" s="94" customFormat="1" x14ac:dyDescent="0.25">
      <c r="A566" s="9" t="s">
        <v>707</v>
      </c>
      <c r="B566" s="137" t="s">
        <v>358</v>
      </c>
      <c r="C566" s="23" t="s">
        <v>904</v>
      </c>
      <c r="D566" s="40" t="s">
        <v>359</v>
      </c>
      <c r="E566" s="46" t="s">
        <v>2117</v>
      </c>
      <c r="F566" s="46" t="s">
        <v>2209</v>
      </c>
      <c r="G566" s="40"/>
      <c r="H566" s="9" t="s">
        <v>150</v>
      </c>
      <c r="I566" s="41" t="s">
        <v>360</v>
      </c>
      <c r="J566" s="24" t="s">
        <v>169</v>
      </c>
      <c r="K566" s="40" t="s">
        <v>954</v>
      </c>
      <c r="L566" s="41" t="s">
        <v>2061</v>
      </c>
      <c r="M566" s="7" t="s">
        <v>2653</v>
      </c>
      <c r="N566" s="19" t="s">
        <v>1108</v>
      </c>
      <c r="O566" s="42" t="s">
        <v>160</v>
      </c>
      <c r="P566" s="19" t="s">
        <v>160</v>
      </c>
      <c r="Q566" s="19" t="s">
        <v>1650</v>
      </c>
      <c r="R566" s="19"/>
      <c r="S566" s="19"/>
      <c r="T566" s="19"/>
      <c r="U566" s="19">
        <v>3</v>
      </c>
      <c r="V566" s="42" t="s">
        <v>160</v>
      </c>
      <c r="W566" s="42"/>
      <c r="X566" s="42" t="s">
        <v>160</v>
      </c>
      <c r="Y566" s="42" t="s">
        <v>160</v>
      </c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2" t="s">
        <v>160</v>
      </c>
      <c r="AM566" s="42" t="s">
        <v>160</v>
      </c>
      <c r="AN566" s="42"/>
      <c r="AO566" s="42"/>
      <c r="AP566" s="42"/>
      <c r="AQ566" s="42"/>
      <c r="AR566" s="42" t="s">
        <v>160</v>
      </c>
      <c r="AS566" s="42" t="s">
        <v>160</v>
      </c>
      <c r="AT566" s="19"/>
      <c r="AU566" s="19"/>
      <c r="AV566" s="19"/>
      <c r="AW566" s="19"/>
      <c r="AX566" s="19"/>
      <c r="AY566" s="19"/>
      <c r="AZ566" s="42" t="s">
        <v>160</v>
      </c>
      <c r="BA566" s="42" t="s">
        <v>160</v>
      </c>
      <c r="BB566" s="42"/>
      <c r="BC566" s="42"/>
      <c r="BD566" s="42"/>
      <c r="BE566" s="42"/>
    </row>
    <row r="567" spans="1:57" x14ac:dyDescent="0.25">
      <c r="A567" s="114" t="s">
        <v>2773</v>
      </c>
      <c r="B567" s="139" t="s">
        <v>2899</v>
      </c>
      <c r="C567" s="109" t="s">
        <v>904</v>
      </c>
      <c r="D567" s="153" t="s">
        <v>813</v>
      </c>
      <c r="E567" s="101">
        <f>57+41/60+16.03/3600</f>
        <v>57.687786111111109</v>
      </c>
      <c r="F567" s="101">
        <f>11+52/60+10.65/3600</f>
        <v>11.869625000000001</v>
      </c>
      <c r="G567" s="93"/>
      <c r="H567" s="94" t="s">
        <v>150</v>
      </c>
      <c r="I567" s="113" t="s">
        <v>360</v>
      </c>
      <c r="J567" s="102" t="s">
        <v>169</v>
      </c>
      <c r="K567" s="102" t="s">
        <v>954</v>
      </c>
      <c r="L567" s="105" t="s">
        <v>2061</v>
      </c>
      <c r="M567" s="105" t="s">
        <v>2653</v>
      </c>
      <c r="N567" s="108" t="s">
        <v>1108</v>
      </c>
      <c r="O567" s="108" t="s">
        <v>160</v>
      </c>
      <c r="P567" s="108" t="s">
        <v>160</v>
      </c>
      <c r="Q567" s="108"/>
      <c r="R567" s="108"/>
      <c r="S567" s="108"/>
      <c r="T567" s="108"/>
      <c r="U567" s="108">
        <v>3</v>
      </c>
      <c r="V567" s="108" t="s">
        <v>160</v>
      </c>
      <c r="W567" s="108"/>
      <c r="X567" s="108" t="s">
        <v>160</v>
      </c>
      <c r="Y567" s="108" t="s">
        <v>160</v>
      </c>
      <c r="Z567" s="108"/>
      <c r="AA567" s="108"/>
      <c r="AB567" s="108"/>
      <c r="AC567" s="108"/>
      <c r="AD567" s="108"/>
      <c r="AE567" s="108"/>
      <c r="AF567" s="108"/>
      <c r="AG567" s="108"/>
      <c r="AH567" s="108"/>
      <c r="AI567" s="108"/>
      <c r="AJ567" s="108"/>
      <c r="AK567" s="108"/>
      <c r="AL567" s="108" t="s">
        <v>160</v>
      </c>
      <c r="AM567" s="108" t="s">
        <v>160</v>
      </c>
      <c r="AN567" s="108"/>
      <c r="AO567" s="108"/>
      <c r="AP567" s="108"/>
      <c r="AQ567" s="108"/>
      <c r="AR567" s="108" t="s">
        <v>160</v>
      </c>
      <c r="AS567" s="108" t="s">
        <v>160</v>
      </c>
      <c r="AT567" s="108"/>
      <c r="AU567" s="108"/>
      <c r="AV567" s="108"/>
      <c r="AW567" s="108"/>
      <c r="AX567" s="108"/>
      <c r="AY567" s="108"/>
      <c r="AZ567" s="108" t="s">
        <v>160</v>
      </c>
      <c r="BA567" s="108" t="s">
        <v>160</v>
      </c>
      <c r="BB567" s="108"/>
      <c r="BC567" s="108"/>
      <c r="BD567" s="108"/>
      <c r="BE567" s="108"/>
    </row>
    <row r="568" spans="1:57" x14ac:dyDescent="0.25">
      <c r="A568" s="6" t="s">
        <v>8</v>
      </c>
      <c r="B568" s="142">
        <v>35184</v>
      </c>
      <c r="C568" s="38" t="s">
        <v>904</v>
      </c>
      <c r="D568" s="24" t="s">
        <v>813</v>
      </c>
      <c r="E568" s="193">
        <v>57.687800000000003</v>
      </c>
      <c r="F568" s="193">
        <v>11.8696</v>
      </c>
      <c r="G568" s="5"/>
      <c r="H568" s="9" t="s">
        <v>150</v>
      </c>
      <c r="I568" s="41" t="s">
        <v>360</v>
      </c>
      <c r="J568" s="24" t="s">
        <v>169</v>
      </c>
      <c r="K568" s="24" t="s">
        <v>954</v>
      </c>
      <c r="L568" s="7" t="s">
        <v>2061</v>
      </c>
      <c r="M568" s="7" t="s">
        <v>2653</v>
      </c>
      <c r="N568" s="19" t="s">
        <v>1108</v>
      </c>
      <c r="O568" s="19" t="s">
        <v>160</v>
      </c>
      <c r="P568" s="19" t="s">
        <v>160</v>
      </c>
      <c r="U568" s="19">
        <v>3</v>
      </c>
      <c r="V568" s="19" t="s">
        <v>160</v>
      </c>
      <c r="X568" s="19" t="s">
        <v>160</v>
      </c>
      <c r="Y568" s="19" t="s">
        <v>160</v>
      </c>
      <c r="AL568" s="19" t="s">
        <v>160</v>
      </c>
      <c r="AM568" s="19" t="s">
        <v>160</v>
      </c>
      <c r="AR568" s="19" t="s">
        <v>160</v>
      </c>
      <c r="AS568" s="19" t="s">
        <v>160</v>
      </c>
      <c r="AZ568" s="19" t="s">
        <v>160</v>
      </c>
      <c r="BA568" s="19" t="s">
        <v>160</v>
      </c>
      <c r="BB568" s="19"/>
      <c r="BC568" s="19"/>
      <c r="BD568" s="19"/>
      <c r="BE568" s="19"/>
    </row>
    <row r="569" spans="1:57" x14ac:dyDescent="0.25">
      <c r="A569" s="9" t="s">
        <v>706</v>
      </c>
      <c r="B569" s="140">
        <v>99</v>
      </c>
      <c r="C569" s="38" t="s">
        <v>904</v>
      </c>
      <c r="D569" s="62" t="s">
        <v>51</v>
      </c>
      <c r="E569" s="3">
        <f>57+41/60+16/3600</f>
        <v>57.687777777777775</v>
      </c>
      <c r="F569" s="3">
        <f>11+52/60+11/3600</f>
        <v>11.869722222222222</v>
      </c>
      <c r="G569" s="5"/>
      <c r="H569" s="9" t="s">
        <v>150</v>
      </c>
      <c r="I569" s="41" t="s">
        <v>360</v>
      </c>
      <c r="J569" s="7" t="s">
        <v>169</v>
      </c>
      <c r="K569" s="9" t="s">
        <v>954</v>
      </c>
      <c r="L569" s="7" t="s">
        <v>2060</v>
      </c>
      <c r="M569" s="7" t="s">
        <v>2653</v>
      </c>
      <c r="N569" s="19" t="s">
        <v>1108</v>
      </c>
      <c r="O569" s="19" t="s">
        <v>160</v>
      </c>
      <c r="P569" s="19" t="s">
        <v>160</v>
      </c>
      <c r="U569" s="19">
        <v>3</v>
      </c>
      <c r="V569" s="19" t="s">
        <v>160</v>
      </c>
      <c r="X569" s="19" t="s">
        <v>160</v>
      </c>
      <c r="Y569" s="19" t="s">
        <v>160</v>
      </c>
      <c r="AL569" s="19" t="s">
        <v>160</v>
      </c>
      <c r="AM569" s="19" t="s">
        <v>160</v>
      </c>
      <c r="AR569" s="19" t="s">
        <v>160</v>
      </c>
      <c r="AS569" s="19" t="s">
        <v>160</v>
      </c>
      <c r="AZ569" s="19" t="s">
        <v>160</v>
      </c>
      <c r="BA569" s="19" t="s">
        <v>160</v>
      </c>
      <c r="BB569" s="19"/>
      <c r="BC569" s="19"/>
      <c r="BD569" s="19"/>
      <c r="BE569" s="19"/>
    </row>
    <row r="570" spans="1:57" x14ac:dyDescent="0.25">
      <c r="A570" s="9" t="s">
        <v>8</v>
      </c>
      <c r="B570" s="27">
        <v>37406</v>
      </c>
      <c r="C570" s="28" t="s">
        <v>1933</v>
      </c>
      <c r="D570" s="28" t="s">
        <v>1430</v>
      </c>
      <c r="E570" s="25">
        <v>58.5</v>
      </c>
      <c r="F570" s="25">
        <v>14.533300000000001</v>
      </c>
      <c r="H570" s="9" t="s">
        <v>1367</v>
      </c>
      <c r="I570" s="6" t="s">
        <v>8</v>
      </c>
      <c r="J570" s="21" t="s">
        <v>8</v>
      </c>
      <c r="K570" s="6" t="s">
        <v>2455</v>
      </c>
      <c r="L570" s="7" t="s">
        <v>2027</v>
      </c>
      <c r="M570" s="28" t="s">
        <v>717</v>
      </c>
      <c r="O570" s="22"/>
      <c r="T570" s="7"/>
      <c r="X570" s="19" t="s">
        <v>160</v>
      </c>
      <c r="BA570" s="7"/>
      <c r="BB570" s="7"/>
      <c r="BC570" s="7"/>
      <c r="BD570" s="7"/>
      <c r="BE570" s="7"/>
    </row>
    <row r="571" spans="1:57" x14ac:dyDescent="0.25">
      <c r="A571" s="6" t="s">
        <v>8</v>
      </c>
      <c r="B571" s="9">
        <v>84310</v>
      </c>
      <c r="C571" s="9" t="s">
        <v>2401</v>
      </c>
      <c r="D571" s="9" t="s">
        <v>1430</v>
      </c>
      <c r="E571" s="3">
        <v>58.514000000000003</v>
      </c>
      <c r="F571" s="3">
        <v>14.507</v>
      </c>
      <c r="G571" s="9">
        <v>94.5</v>
      </c>
      <c r="H571" s="9" t="s">
        <v>1367</v>
      </c>
      <c r="I571" s="21" t="s">
        <v>8</v>
      </c>
      <c r="J571" s="21" t="s">
        <v>8</v>
      </c>
      <c r="K571" s="3" t="s">
        <v>5</v>
      </c>
      <c r="L571" s="5" t="s">
        <v>2680</v>
      </c>
      <c r="M571" s="7" t="s">
        <v>2653</v>
      </c>
      <c r="N571" s="19" t="s">
        <v>2495</v>
      </c>
      <c r="O571" s="22"/>
      <c r="P571" s="19" t="s">
        <v>160</v>
      </c>
      <c r="AR571" s="19" t="s">
        <v>160</v>
      </c>
      <c r="AS571" s="19" t="s">
        <v>160</v>
      </c>
      <c r="AT571" s="19" t="s">
        <v>160</v>
      </c>
      <c r="AU571" s="19" t="s">
        <v>160</v>
      </c>
      <c r="AV571" s="19" t="s">
        <v>160</v>
      </c>
      <c r="AW571" s="19" t="s">
        <v>160</v>
      </c>
      <c r="AX571" s="19" t="s">
        <v>160</v>
      </c>
      <c r="AY571" s="19" t="s">
        <v>160</v>
      </c>
      <c r="AZ571" s="19" t="s">
        <v>160</v>
      </c>
      <c r="BA571" s="19" t="s">
        <v>160</v>
      </c>
      <c r="BB571" s="19"/>
      <c r="BC571" s="19"/>
      <c r="BD571" s="19"/>
      <c r="BE571" s="19"/>
    </row>
    <row r="572" spans="1:57" x14ac:dyDescent="0.25">
      <c r="A572" s="9" t="s">
        <v>707</v>
      </c>
      <c r="B572" s="137" t="s">
        <v>363</v>
      </c>
      <c r="C572" s="23" t="s">
        <v>763</v>
      </c>
      <c r="D572" s="40" t="s">
        <v>364</v>
      </c>
      <c r="E572" s="46" t="s">
        <v>2118</v>
      </c>
      <c r="F572" s="46" t="s">
        <v>2119</v>
      </c>
      <c r="G572" s="40"/>
      <c r="H572" s="9" t="s">
        <v>150</v>
      </c>
      <c r="I572" s="41" t="s">
        <v>169</v>
      </c>
      <c r="J572" s="41" t="s">
        <v>169</v>
      </c>
      <c r="K572" s="40" t="s">
        <v>6</v>
      </c>
      <c r="L572" s="41" t="s">
        <v>2031</v>
      </c>
      <c r="M572" s="7" t="s">
        <v>2653</v>
      </c>
      <c r="N572" s="19" t="s">
        <v>1108</v>
      </c>
      <c r="O572" s="42" t="s">
        <v>160</v>
      </c>
      <c r="P572" s="42" t="s">
        <v>160</v>
      </c>
      <c r="Q572" s="44" t="s">
        <v>1197</v>
      </c>
      <c r="S572" s="19" t="s">
        <v>160</v>
      </c>
      <c r="T572" s="19" t="s">
        <v>160</v>
      </c>
      <c r="U572" s="19">
        <v>2</v>
      </c>
      <c r="V572" s="42" t="s">
        <v>160</v>
      </c>
      <c r="W572" s="42" t="s">
        <v>160</v>
      </c>
      <c r="X572" s="42" t="s">
        <v>160</v>
      </c>
      <c r="Y572" s="42" t="s">
        <v>160</v>
      </c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  <c r="AO572" s="42"/>
      <c r="AP572" s="42"/>
      <c r="AQ572" s="42"/>
      <c r="AR572" s="42"/>
      <c r="AS572" s="42"/>
      <c r="AZ572" s="42"/>
      <c r="BA572" s="42"/>
      <c r="BB572" s="42"/>
      <c r="BC572" s="42"/>
      <c r="BD572" s="42"/>
      <c r="BE572" s="42"/>
    </row>
    <row r="573" spans="1:57" x14ac:dyDescent="0.25">
      <c r="A573" s="9" t="s">
        <v>707</v>
      </c>
      <c r="B573" s="39" t="s">
        <v>361</v>
      </c>
      <c r="C573" s="39" t="s">
        <v>763</v>
      </c>
      <c r="D573" s="40" t="s">
        <v>362</v>
      </c>
      <c r="E573" s="46" t="s">
        <v>2118</v>
      </c>
      <c r="F573" s="46" t="s">
        <v>2119</v>
      </c>
      <c r="G573" s="40"/>
      <c r="H573" s="9" t="s">
        <v>150</v>
      </c>
      <c r="I573" s="41" t="s">
        <v>169</v>
      </c>
      <c r="J573" s="41" t="s">
        <v>169</v>
      </c>
      <c r="K573" s="40" t="s">
        <v>5</v>
      </c>
      <c r="L573" s="41" t="s">
        <v>2043</v>
      </c>
      <c r="M573" s="7" t="s">
        <v>2653</v>
      </c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  <c r="AO573" s="42"/>
      <c r="AP573" s="42"/>
      <c r="AQ573" s="42"/>
      <c r="AR573" s="42" t="s">
        <v>160</v>
      </c>
      <c r="AS573" s="42"/>
      <c r="AZ573" s="42"/>
      <c r="BA573" s="42"/>
      <c r="BB573" s="42"/>
      <c r="BC573" s="42"/>
      <c r="BD573" s="42"/>
      <c r="BE573" s="42"/>
    </row>
    <row r="574" spans="1:57" x14ac:dyDescent="0.25">
      <c r="A574" s="53" t="s">
        <v>2763</v>
      </c>
      <c r="B574" s="138">
        <v>35131</v>
      </c>
      <c r="C574" s="53" t="s">
        <v>763</v>
      </c>
      <c r="D574" s="53" t="s">
        <v>763</v>
      </c>
      <c r="E574" s="35">
        <v>56.154578999999998</v>
      </c>
      <c r="F574" s="35">
        <v>14.821406</v>
      </c>
      <c r="G574" s="53">
        <v>2.99</v>
      </c>
      <c r="H574" s="9" t="s">
        <v>150</v>
      </c>
      <c r="I574" s="7" t="s">
        <v>169</v>
      </c>
      <c r="J574" s="53" t="s">
        <v>169</v>
      </c>
      <c r="K574" s="7" t="s">
        <v>6</v>
      </c>
      <c r="L574" s="7" t="s">
        <v>2031</v>
      </c>
      <c r="M574" s="7" t="s">
        <v>2653</v>
      </c>
      <c r="N574" s="19" t="s">
        <v>1108</v>
      </c>
      <c r="O574" s="42" t="s">
        <v>160</v>
      </c>
      <c r="P574" s="42" t="s">
        <v>160</v>
      </c>
      <c r="Q574" s="44" t="s">
        <v>1197</v>
      </c>
      <c r="S574" s="19" t="s">
        <v>160</v>
      </c>
      <c r="T574" s="19" t="s">
        <v>160</v>
      </c>
      <c r="U574" s="42">
        <v>2</v>
      </c>
      <c r="V574" s="20" t="s">
        <v>160</v>
      </c>
      <c r="W574" s="20" t="s">
        <v>160</v>
      </c>
      <c r="X574" s="20" t="s">
        <v>160</v>
      </c>
      <c r="Y574" s="20" t="s">
        <v>160</v>
      </c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94" customFormat="1" x14ac:dyDescent="0.25">
      <c r="A575" s="105" t="s">
        <v>2773</v>
      </c>
      <c r="B575" s="139" t="s">
        <v>2837</v>
      </c>
      <c r="C575" s="110" t="s">
        <v>763</v>
      </c>
      <c r="D575" s="153" t="s">
        <v>52</v>
      </c>
      <c r="E575" s="82">
        <f>56+9/60+16.4772/3600</f>
        <v>56.154576999999996</v>
      </c>
      <c r="F575" s="82">
        <f>14+49/60+17.0508/3600</f>
        <v>14.821403</v>
      </c>
      <c r="G575" s="178">
        <v>2.99</v>
      </c>
      <c r="H575" s="105" t="s">
        <v>150</v>
      </c>
      <c r="I575" s="105" t="s">
        <v>169</v>
      </c>
      <c r="J575" s="105" t="s">
        <v>169</v>
      </c>
      <c r="K575" s="105" t="s">
        <v>40</v>
      </c>
      <c r="L575" s="105" t="s">
        <v>2055</v>
      </c>
      <c r="M575" s="105" t="s">
        <v>2653</v>
      </c>
      <c r="N575" s="108" t="s">
        <v>1108</v>
      </c>
      <c r="O575" s="106" t="s">
        <v>160</v>
      </c>
      <c r="P575" s="106" t="s">
        <v>160</v>
      </c>
      <c r="Q575" s="107" t="s">
        <v>1197</v>
      </c>
      <c r="R575" s="108"/>
      <c r="S575" s="108" t="s">
        <v>160</v>
      </c>
      <c r="T575" s="108" t="s">
        <v>160</v>
      </c>
      <c r="U575" s="106">
        <v>2</v>
      </c>
      <c r="V575" s="103" t="s">
        <v>160</v>
      </c>
      <c r="W575" s="103" t="s">
        <v>160</v>
      </c>
      <c r="X575" s="103" t="s">
        <v>160</v>
      </c>
      <c r="Y575" s="103" t="s">
        <v>160</v>
      </c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 t="s">
        <v>160</v>
      </c>
      <c r="AS575" s="103" t="s">
        <v>160</v>
      </c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  <c r="BD575" s="103"/>
      <c r="BE575" s="103"/>
    </row>
    <row r="576" spans="1:57" x14ac:dyDescent="0.25">
      <c r="A576" s="7" t="s">
        <v>8</v>
      </c>
      <c r="B576" s="142" t="s">
        <v>2900</v>
      </c>
      <c r="C576" s="23" t="s">
        <v>763</v>
      </c>
      <c r="D576" s="24" t="s">
        <v>763</v>
      </c>
      <c r="E576" s="193">
        <v>56.154200000000003</v>
      </c>
      <c r="F576" s="193">
        <v>14.821199999999999</v>
      </c>
      <c r="G576" s="43"/>
      <c r="H576" s="7" t="s">
        <v>150</v>
      </c>
      <c r="I576" s="7" t="s">
        <v>169</v>
      </c>
      <c r="J576" s="7" t="s">
        <v>169</v>
      </c>
      <c r="K576" s="7" t="s">
        <v>40</v>
      </c>
      <c r="L576" s="7" t="s">
        <v>2055</v>
      </c>
      <c r="M576" s="7" t="s">
        <v>2653</v>
      </c>
      <c r="N576" s="19" t="s">
        <v>1108</v>
      </c>
      <c r="O576" s="42" t="s">
        <v>160</v>
      </c>
      <c r="P576" s="42" t="s">
        <v>160</v>
      </c>
      <c r="Q576" s="44" t="s">
        <v>1197</v>
      </c>
      <c r="S576" s="19" t="s">
        <v>160</v>
      </c>
      <c r="T576" s="19" t="s">
        <v>160</v>
      </c>
      <c r="U576" s="42">
        <v>2</v>
      </c>
      <c r="V576" s="20" t="s">
        <v>160</v>
      </c>
      <c r="W576" s="20" t="s">
        <v>160</v>
      </c>
      <c r="X576" s="20" t="s">
        <v>160</v>
      </c>
      <c r="Y576" s="20" t="s">
        <v>160</v>
      </c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 t="s">
        <v>160</v>
      </c>
      <c r="AS576" s="20" t="s">
        <v>160</v>
      </c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</row>
    <row r="577" spans="1:57" x14ac:dyDescent="0.25">
      <c r="A577" s="9" t="s">
        <v>706</v>
      </c>
      <c r="B577" s="140">
        <v>61</v>
      </c>
      <c r="C577" s="23" t="s">
        <v>763</v>
      </c>
      <c r="D577" s="62" t="s">
        <v>52</v>
      </c>
      <c r="E577" s="3">
        <f>56+9/60+15/3600</f>
        <v>56.154166666666669</v>
      </c>
      <c r="F577" s="3">
        <f>14+49/60+16/3600</f>
        <v>14.821111111111112</v>
      </c>
      <c r="G577" s="43"/>
      <c r="H577" s="9" t="s">
        <v>150</v>
      </c>
      <c r="I577" s="7" t="s">
        <v>169</v>
      </c>
      <c r="J577" s="7" t="s">
        <v>169</v>
      </c>
      <c r="K577" s="9" t="s">
        <v>40</v>
      </c>
      <c r="L577" s="7" t="s">
        <v>2055</v>
      </c>
      <c r="M577" s="7" t="s">
        <v>2653</v>
      </c>
      <c r="N577" s="19" t="s">
        <v>1108</v>
      </c>
      <c r="O577" s="42" t="s">
        <v>160</v>
      </c>
      <c r="Q577" s="44" t="s">
        <v>1197</v>
      </c>
      <c r="S577" s="19" t="s">
        <v>160</v>
      </c>
      <c r="T577" s="19" t="s">
        <v>160</v>
      </c>
      <c r="U577" s="19">
        <v>2</v>
      </c>
      <c r="V577" s="19" t="s">
        <v>160</v>
      </c>
      <c r="W577" s="19" t="s">
        <v>160</v>
      </c>
      <c r="X577" s="19" t="s">
        <v>160</v>
      </c>
      <c r="Y577" s="19" t="s">
        <v>160</v>
      </c>
      <c r="AR577" s="19" t="s">
        <v>160</v>
      </c>
      <c r="AS577" s="19" t="s">
        <v>160</v>
      </c>
      <c r="BB577" s="19"/>
      <c r="BC577" s="19"/>
      <c r="BD577" s="19"/>
      <c r="BE577" s="19"/>
    </row>
    <row r="578" spans="1:57" x14ac:dyDescent="0.25">
      <c r="A578" s="6" t="s">
        <v>8</v>
      </c>
      <c r="B578" s="9">
        <v>64130</v>
      </c>
      <c r="C578" s="9" t="s">
        <v>2255</v>
      </c>
      <c r="D578" s="9" t="s">
        <v>763</v>
      </c>
      <c r="E578" s="3">
        <v>56.1813</v>
      </c>
      <c r="F578" s="3">
        <v>14.851699999999999</v>
      </c>
      <c r="G578" s="9">
        <v>50</v>
      </c>
      <c r="H578" s="9"/>
      <c r="I578" s="21" t="s">
        <v>8</v>
      </c>
      <c r="J578" s="21" t="s">
        <v>8</v>
      </c>
      <c r="K578" s="3" t="s">
        <v>5</v>
      </c>
      <c r="L578" s="5" t="s">
        <v>2681</v>
      </c>
      <c r="M578" s="7" t="s">
        <v>2653</v>
      </c>
      <c r="N578" s="19" t="s">
        <v>2496</v>
      </c>
      <c r="O578" s="22"/>
      <c r="P578" s="19" t="s">
        <v>160</v>
      </c>
      <c r="AR578" s="19" t="s">
        <v>160</v>
      </c>
      <c r="AS578" s="19" t="s">
        <v>160</v>
      </c>
      <c r="AT578" s="19" t="s">
        <v>160</v>
      </c>
      <c r="AU578" s="19" t="s">
        <v>160</v>
      </c>
      <c r="AX578" s="19" t="s">
        <v>160</v>
      </c>
      <c r="AY578" s="19" t="s">
        <v>160</v>
      </c>
      <c r="AZ578" s="19" t="s">
        <v>160</v>
      </c>
      <c r="BA578" s="19" t="s">
        <v>160</v>
      </c>
      <c r="BB578" s="19"/>
      <c r="BC578" s="19"/>
      <c r="BD578" s="19"/>
      <c r="BE578" s="19"/>
    </row>
    <row r="579" spans="1:57" x14ac:dyDescent="0.25">
      <c r="A579" s="9" t="s">
        <v>8</v>
      </c>
      <c r="B579" s="26">
        <v>35065</v>
      </c>
      <c r="C579" s="24" t="s">
        <v>1081</v>
      </c>
      <c r="D579" s="24" t="s">
        <v>1081</v>
      </c>
      <c r="E579" s="25">
        <f>55+56/60</f>
        <v>55.93333333333333</v>
      </c>
      <c r="F579" s="25">
        <f>15+19/60</f>
        <v>15.316666666666666</v>
      </c>
      <c r="G579" s="9"/>
      <c r="H579" s="9" t="s">
        <v>150</v>
      </c>
      <c r="I579" s="9" t="s">
        <v>8</v>
      </c>
      <c r="J579" s="7" t="s">
        <v>8</v>
      </c>
      <c r="K579" s="10" t="s">
        <v>951</v>
      </c>
      <c r="L579" s="7" t="s">
        <v>2044</v>
      </c>
      <c r="M579" s="7" t="s">
        <v>717</v>
      </c>
      <c r="N579" s="42" t="s">
        <v>1352</v>
      </c>
      <c r="O579" s="22"/>
      <c r="P579" s="42" t="s">
        <v>160</v>
      </c>
      <c r="S579" s="42" t="s">
        <v>160</v>
      </c>
      <c r="T579" s="19" t="s">
        <v>160</v>
      </c>
      <c r="U579" s="42"/>
      <c r="AN579" s="19" t="s">
        <v>160</v>
      </c>
      <c r="BB579" s="19"/>
      <c r="BC579" s="19"/>
      <c r="BD579" s="19"/>
      <c r="BE579" s="19"/>
    </row>
    <row r="580" spans="1:57" x14ac:dyDescent="0.25">
      <c r="A580" s="9" t="s">
        <v>8</v>
      </c>
      <c r="B580" s="27">
        <v>37215</v>
      </c>
      <c r="C580" s="28" t="s">
        <v>1934</v>
      </c>
      <c r="D580" s="28" t="s">
        <v>1081</v>
      </c>
      <c r="E580" s="25">
        <v>56.05</v>
      </c>
      <c r="F580" s="25">
        <v>15.566700000000001</v>
      </c>
      <c r="H580" s="9" t="s">
        <v>150</v>
      </c>
      <c r="I580" s="9" t="s">
        <v>8</v>
      </c>
      <c r="J580" s="7" t="s">
        <v>8</v>
      </c>
      <c r="K580" s="6" t="s">
        <v>2455</v>
      </c>
      <c r="L580" s="7" t="s">
        <v>2027</v>
      </c>
      <c r="M580" s="28" t="s">
        <v>717</v>
      </c>
      <c r="N580" s="19" t="s">
        <v>1812</v>
      </c>
      <c r="O580" s="22"/>
      <c r="P580" s="19" t="s">
        <v>160</v>
      </c>
      <c r="T580" s="7"/>
      <c r="X580" s="19" t="s">
        <v>160</v>
      </c>
      <c r="BA580" s="7"/>
      <c r="BB580" s="7"/>
      <c r="BC580" s="7"/>
      <c r="BD580" s="7"/>
      <c r="BE580" s="7"/>
    </row>
    <row r="581" spans="1:57" x14ac:dyDescent="0.25">
      <c r="A581" s="6" t="s">
        <v>8</v>
      </c>
      <c r="B581" s="9">
        <v>65090</v>
      </c>
      <c r="C581" s="9" t="s">
        <v>1431</v>
      </c>
      <c r="D581" s="9" t="s">
        <v>1432</v>
      </c>
      <c r="E581" s="3">
        <v>56.15</v>
      </c>
      <c r="F581" s="3">
        <v>15.589</v>
      </c>
      <c r="G581" s="9">
        <v>2.4</v>
      </c>
      <c r="H581" s="9" t="s">
        <v>150</v>
      </c>
      <c r="I581" s="21" t="s">
        <v>8</v>
      </c>
      <c r="J581" s="21" t="s">
        <v>8</v>
      </c>
      <c r="K581" s="3" t="s">
        <v>5</v>
      </c>
      <c r="L581" s="5" t="s">
        <v>2680</v>
      </c>
      <c r="M581" s="7" t="s">
        <v>2653</v>
      </c>
      <c r="N581" s="19" t="s">
        <v>1114</v>
      </c>
      <c r="O581" s="22"/>
      <c r="P581" s="19" t="s">
        <v>160</v>
      </c>
      <c r="AR581" s="19" t="s">
        <v>160</v>
      </c>
      <c r="AS581" s="19" t="s">
        <v>160</v>
      </c>
      <c r="AT581" s="19" t="s">
        <v>160</v>
      </c>
      <c r="AU581" s="19" t="s">
        <v>160</v>
      </c>
      <c r="AV581" s="19" t="s">
        <v>160</v>
      </c>
      <c r="AW581" s="19" t="s">
        <v>160</v>
      </c>
      <c r="AX581" s="19" t="s">
        <v>160</v>
      </c>
      <c r="AY581" s="19" t="s">
        <v>160</v>
      </c>
      <c r="AZ581" s="19" t="s">
        <v>160</v>
      </c>
      <c r="BA581" s="19" t="s">
        <v>160</v>
      </c>
      <c r="BB581" s="19"/>
      <c r="BC581" s="19"/>
      <c r="BD581" s="19"/>
      <c r="BE581" s="19"/>
    </row>
    <row r="582" spans="1:57" x14ac:dyDescent="0.25">
      <c r="A582" s="9" t="s">
        <v>707</v>
      </c>
      <c r="B582" s="137" t="s">
        <v>365</v>
      </c>
      <c r="C582" s="23" t="s">
        <v>851</v>
      </c>
      <c r="D582" s="40" t="s">
        <v>366</v>
      </c>
      <c r="E582" s="46" t="s">
        <v>368</v>
      </c>
      <c r="F582" s="46" t="s">
        <v>367</v>
      </c>
      <c r="G582" s="40"/>
      <c r="H582" s="9" t="s">
        <v>150</v>
      </c>
      <c r="I582" s="41" t="s">
        <v>169</v>
      </c>
      <c r="J582" s="41" t="s">
        <v>169</v>
      </c>
      <c r="K582" s="40" t="s">
        <v>6</v>
      </c>
      <c r="L582" s="41" t="s">
        <v>2030</v>
      </c>
      <c r="M582" s="7" t="s">
        <v>2653</v>
      </c>
      <c r="V582" s="42" t="s">
        <v>160</v>
      </c>
      <c r="W582" s="42" t="s">
        <v>160</v>
      </c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  <c r="AN582" s="42"/>
      <c r="AO582" s="42"/>
      <c r="AP582" s="42"/>
      <c r="AQ582" s="42"/>
      <c r="AR582" s="42"/>
      <c r="AS582" s="42"/>
      <c r="AZ582" s="42"/>
      <c r="BA582" s="42"/>
      <c r="BB582" s="42"/>
      <c r="BC582" s="42"/>
      <c r="BD582" s="42"/>
      <c r="BE582" s="42"/>
    </row>
    <row r="583" spans="1:57" x14ac:dyDescent="0.25">
      <c r="A583" s="9" t="s">
        <v>706</v>
      </c>
      <c r="B583" s="144">
        <v>132</v>
      </c>
      <c r="C583" s="38" t="s">
        <v>851</v>
      </c>
      <c r="D583" t="s">
        <v>2739</v>
      </c>
      <c r="E583" s="3">
        <f>58+37/60+1/3600</f>
        <v>58.616944444444442</v>
      </c>
      <c r="F583" s="3">
        <f>16+10/60+56/3600</f>
        <v>16.182222222222222</v>
      </c>
      <c r="H583" s="9" t="s">
        <v>150</v>
      </c>
      <c r="I583" s="7" t="s">
        <v>169</v>
      </c>
      <c r="J583" s="7" t="s">
        <v>169</v>
      </c>
      <c r="K583" s="9" t="s">
        <v>6</v>
      </c>
      <c r="L583" s="7" t="s">
        <v>2030</v>
      </c>
      <c r="M583" s="7" t="s">
        <v>2653</v>
      </c>
      <c r="V583" s="19" t="s">
        <v>160</v>
      </c>
      <c r="W583" s="19" t="s">
        <v>160</v>
      </c>
      <c r="BB583" s="19"/>
      <c r="BC583" s="19"/>
      <c r="BD583" s="19"/>
      <c r="BE583" s="19"/>
    </row>
    <row r="584" spans="1:57" x14ac:dyDescent="0.25">
      <c r="A584" s="9" t="s">
        <v>706</v>
      </c>
      <c r="B584" s="39">
        <v>230</v>
      </c>
      <c r="C584" s="23" t="s">
        <v>2741</v>
      </c>
      <c r="D584" t="s">
        <v>2740</v>
      </c>
      <c r="E584" s="3">
        <f>58+37/60+1/3600</f>
        <v>58.616944444444442</v>
      </c>
      <c r="F584" s="3">
        <f>16+10/60+56/3600</f>
        <v>16.182222222222222</v>
      </c>
      <c r="G584" s="40"/>
      <c r="H584" s="9" t="s">
        <v>150</v>
      </c>
      <c r="I584" s="41" t="s">
        <v>169</v>
      </c>
      <c r="J584" s="41" t="s">
        <v>169</v>
      </c>
      <c r="K584" s="40"/>
      <c r="L584" s="41"/>
      <c r="M584" s="7" t="s">
        <v>2653</v>
      </c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2"/>
      <c r="AJ584" s="42"/>
      <c r="AK584" s="42"/>
      <c r="AL584" s="42"/>
      <c r="AM584" s="42"/>
      <c r="AN584" s="42"/>
      <c r="AO584" s="42"/>
      <c r="AP584" s="42"/>
      <c r="AQ584" s="42"/>
      <c r="AR584" s="42"/>
      <c r="AS584" s="42"/>
      <c r="AZ584" s="42"/>
      <c r="BA584" s="42"/>
      <c r="BB584" s="42"/>
      <c r="BC584" s="42"/>
      <c r="BD584" s="42"/>
      <c r="BE584" s="42"/>
    </row>
    <row r="585" spans="1:57" x14ac:dyDescent="0.25">
      <c r="A585" s="9" t="s">
        <v>8</v>
      </c>
      <c r="B585" s="27">
        <v>37403</v>
      </c>
      <c r="C585" s="28" t="s">
        <v>1935</v>
      </c>
      <c r="D585" s="28" t="s">
        <v>1809</v>
      </c>
      <c r="E585" s="25">
        <v>59.366700000000002</v>
      </c>
      <c r="F585" s="25">
        <v>13.5</v>
      </c>
      <c r="H585" s="9" t="s">
        <v>148</v>
      </c>
      <c r="I585" s="6" t="s">
        <v>8</v>
      </c>
      <c r="J585" s="21" t="s">
        <v>8</v>
      </c>
      <c r="K585" s="6" t="s">
        <v>2455</v>
      </c>
      <c r="L585" s="7" t="s">
        <v>2027</v>
      </c>
      <c r="M585" s="28" t="s">
        <v>717</v>
      </c>
      <c r="N585" s="19" t="s">
        <v>1872</v>
      </c>
      <c r="O585" s="22"/>
      <c r="T585" s="7"/>
      <c r="X585" s="19" t="s">
        <v>160</v>
      </c>
      <c r="BA585" s="7"/>
      <c r="BB585" s="7"/>
      <c r="BC585" s="7"/>
      <c r="BD585" s="7"/>
      <c r="BE585" s="7"/>
    </row>
    <row r="586" spans="1:57" x14ac:dyDescent="0.25">
      <c r="A586" s="6" t="s">
        <v>8</v>
      </c>
      <c r="B586" s="9">
        <v>93230</v>
      </c>
      <c r="C586" s="9" t="s">
        <v>1433</v>
      </c>
      <c r="D586" s="9" t="s">
        <v>1434</v>
      </c>
      <c r="E586" s="3">
        <v>59.360999999999997</v>
      </c>
      <c r="F586" s="3">
        <v>13.472799999999999</v>
      </c>
      <c r="G586" s="9">
        <v>46</v>
      </c>
      <c r="H586" s="9" t="s">
        <v>148</v>
      </c>
      <c r="I586" s="6" t="s">
        <v>8</v>
      </c>
      <c r="J586" s="21" t="s">
        <v>8</v>
      </c>
      <c r="K586" s="3" t="s">
        <v>5</v>
      </c>
      <c r="L586" s="5" t="s">
        <v>2681</v>
      </c>
      <c r="M586" s="7" t="s">
        <v>717</v>
      </c>
      <c r="N586" s="19" t="s">
        <v>2497</v>
      </c>
      <c r="O586" s="22"/>
      <c r="P586" s="19" t="s">
        <v>160</v>
      </c>
      <c r="AR586" s="19" t="s">
        <v>160</v>
      </c>
      <c r="AT586" s="19" t="s">
        <v>160</v>
      </c>
      <c r="AX586" s="19" t="s">
        <v>160</v>
      </c>
      <c r="AZ586" s="19" t="s">
        <v>160</v>
      </c>
      <c r="BB586" s="19"/>
      <c r="BC586" s="19"/>
      <c r="BD586" s="19"/>
      <c r="BE586" s="19"/>
    </row>
    <row r="587" spans="1:57" x14ac:dyDescent="0.25">
      <c r="A587" s="6" t="s">
        <v>8</v>
      </c>
      <c r="B587" s="9">
        <v>93220</v>
      </c>
      <c r="C587" s="9" t="s">
        <v>2446</v>
      </c>
      <c r="D587" s="9" t="s">
        <v>1435</v>
      </c>
      <c r="E587" s="3">
        <v>59.444600000000001</v>
      </c>
      <c r="F587" s="3">
        <v>13.337400000000001</v>
      </c>
      <c r="G587" s="9">
        <v>107</v>
      </c>
      <c r="H587" s="9" t="s">
        <v>148</v>
      </c>
      <c r="I587" s="21" t="s">
        <v>8</v>
      </c>
      <c r="J587" s="21" t="s">
        <v>8</v>
      </c>
      <c r="K587" s="3" t="s">
        <v>5</v>
      </c>
      <c r="L587" s="5" t="s">
        <v>2680</v>
      </c>
      <c r="M587" s="7" t="s">
        <v>2653</v>
      </c>
      <c r="N587" s="19" t="s">
        <v>2498</v>
      </c>
      <c r="O587" s="22"/>
      <c r="P587" s="19" t="s">
        <v>160</v>
      </c>
      <c r="AR587" s="19" t="s">
        <v>160</v>
      </c>
      <c r="AS587" s="19" t="s">
        <v>160</v>
      </c>
      <c r="AT587" s="19" t="s">
        <v>160</v>
      </c>
      <c r="AU587" s="19" t="s">
        <v>160</v>
      </c>
      <c r="AV587" s="19" t="s">
        <v>160</v>
      </c>
      <c r="AW587" s="19" t="s">
        <v>160</v>
      </c>
      <c r="AX587" s="19" t="s">
        <v>160</v>
      </c>
      <c r="AY587" s="19" t="s">
        <v>160</v>
      </c>
      <c r="AZ587" s="19" t="s">
        <v>160</v>
      </c>
      <c r="BA587" s="19" t="s">
        <v>160</v>
      </c>
      <c r="BB587" s="19"/>
      <c r="BC587" s="19"/>
      <c r="BD587" s="19"/>
      <c r="BE587" s="19"/>
    </row>
    <row r="588" spans="1:57" s="94" customFormat="1" x14ac:dyDescent="0.25">
      <c r="A588" s="98" t="s">
        <v>2773</v>
      </c>
      <c r="B588" s="135">
        <v>2092</v>
      </c>
      <c r="C588" s="98" t="s">
        <v>1232</v>
      </c>
      <c r="D588" s="98" t="s">
        <v>1232</v>
      </c>
      <c r="E588" s="189">
        <f>55+41/60+24/3600</f>
        <v>55.69</v>
      </c>
      <c r="F588" s="189">
        <f>14+13/60+12/3600</f>
        <v>14.22</v>
      </c>
      <c r="G588" s="101"/>
      <c r="H588" s="98" t="s">
        <v>150</v>
      </c>
      <c r="I588" s="98" t="s">
        <v>8</v>
      </c>
      <c r="J588" s="102" t="s">
        <v>8</v>
      </c>
      <c r="K588" s="98" t="s">
        <v>6</v>
      </c>
      <c r="L588" s="102" t="s">
        <v>2030</v>
      </c>
      <c r="M588" s="102" t="s">
        <v>717</v>
      </c>
      <c r="N588" s="104" t="s">
        <v>1305</v>
      </c>
      <c r="O588" s="104"/>
      <c r="P588" s="104"/>
      <c r="Q588" s="103" t="s">
        <v>1648</v>
      </c>
      <c r="R588" s="103"/>
      <c r="S588" s="103"/>
      <c r="T588" s="103"/>
      <c r="U588" s="104">
        <v>4</v>
      </c>
      <c r="V588" s="103" t="s">
        <v>160</v>
      </c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  <c r="BD588" s="103"/>
      <c r="BE588" s="103"/>
    </row>
    <row r="589" spans="1:57" x14ac:dyDescent="0.25">
      <c r="A589" s="10" t="s">
        <v>8</v>
      </c>
      <c r="B589" s="155">
        <v>2092</v>
      </c>
      <c r="C589" s="10" t="s">
        <v>1232</v>
      </c>
      <c r="D589" s="10" t="s">
        <v>1232</v>
      </c>
      <c r="E589" s="195">
        <v>55.69</v>
      </c>
      <c r="F589" s="195">
        <v>14.22</v>
      </c>
      <c r="G589" s="30"/>
      <c r="H589" s="10" t="s">
        <v>150</v>
      </c>
      <c r="I589" s="10" t="s">
        <v>8</v>
      </c>
      <c r="J589" s="24" t="s">
        <v>8</v>
      </c>
      <c r="K589" s="10" t="s">
        <v>6</v>
      </c>
      <c r="L589" s="24" t="s">
        <v>2030</v>
      </c>
      <c r="M589" s="24" t="s">
        <v>717</v>
      </c>
      <c r="N589" s="22" t="s">
        <v>1305</v>
      </c>
      <c r="O589" s="22"/>
      <c r="P589" s="22"/>
      <c r="Q589" s="20" t="s">
        <v>1648</v>
      </c>
      <c r="R589" s="20"/>
      <c r="S589" s="20"/>
      <c r="T589" s="20"/>
      <c r="U589" s="22">
        <v>4</v>
      </c>
      <c r="V589" s="20" t="s">
        <v>160</v>
      </c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</row>
    <row r="590" spans="1:57" x14ac:dyDescent="0.25">
      <c r="A590" s="9" t="s">
        <v>707</v>
      </c>
      <c r="B590" s="137" t="s">
        <v>369</v>
      </c>
      <c r="C590" s="23" t="s">
        <v>767</v>
      </c>
      <c r="D590" s="40" t="s">
        <v>370</v>
      </c>
      <c r="E590" s="46" t="s">
        <v>2194</v>
      </c>
      <c r="F590" s="46" t="s">
        <v>2193</v>
      </c>
      <c r="G590" s="40"/>
      <c r="H590" s="9" t="s">
        <v>150</v>
      </c>
      <c r="I590" s="41" t="s">
        <v>8</v>
      </c>
      <c r="J590" s="41" t="s">
        <v>8</v>
      </c>
      <c r="K590" s="40" t="s">
        <v>6</v>
      </c>
      <c r="L590" s="41" t="s">
        <v>2030</v>
      </c>
      <c r="M590" s="7" t="s">
        <v>2653</v>
      </c>
      <c r="N590" s="42" t="s">
        <v>1174</v>
      </c>
      <c r="O590" s="22"/>
      <c r="P590" s="42" t="s">
        <v>160</v>
      </c>
      <c r="Q590" s="44" t="s">
        <v>1198</v>
      </c>
      <c r="R590" s="44" t="s">
        <v>1595</v>
      </c>
      <c r="S590" s="19" t="s">
        <v>160</v>
      </c>
      <c r="T590" s="19" t="s">
        <v>160</v>
      </c>
      <c r="U590" s="19">
        <v>1</v>
      </c>
      <c r="V590" s="42" t="s">
        <v>160</v>
      </c>
      <c r="W590" s="42" t="s">
        <v>160</v>
      </c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  <c r="AN590" s="42"/>
      <c r="AO590" s="42"/>
      <c r="AP590" s="42"/>
      <c r="AQ590" s="42"/>
      <c r="AR590" s="42"/>
      <c r="AS590" s="42"/>
      <c r="AZ590" s="42"/>
      <c r="BA590" s="42"/>
      <c r="BB590" s="42"/>
      <c r="BC590" s="42"/>
      <c r="BD590" s="42"/>
      <c r="BE590" s="42"/>
    </row>
    <row r="591" spans="1:57" x14ac:dyDescent="0.25">
      <c r="A591" s="53" t="s">
        <v>2763</v>
      </c>
      <c r="B591" s="143">
        <v>2095</v>
      </c>
      <c r="C591" s="85" t="s">
        <v>767</v>
      </c>
      <c r="D591" s="85" t="s">
        <v>767</v>
      </c>
      <c r="E591" s="35">
        <v>55.522221999999999</v>
      </c>
      <c r="F591" s="35">
        <v>12.893611</v>
      </c>
      <c r="G591" s="86"/>
      <c r="H591" s="9" t="s">
        <v>150</v>
      </c>
      <c r="I591" s="14" t="s">
        <v>8</v>
      </c>
      <c r="J591" s="85" t="s">
        <v>8</v>
      </c>
      <c r="K591" s="7" t="s">
        <v>6</v>
      </c>
      <c r="L591" s="7" t="s">
        <v>2030</v>
      </c>
      <c r="M591" s="7" t="s">
        <v>2653</v>
      </c>
      <c r="N591" s="42" t="s">
        <v>1174</v>
      </c>
      <c r="O591" s="22"/>
      <c r="P591" s="42" t="s">
        <v>160</v>
      </c>
      <c r="Q591" s="44" t="s">
        <v>1198</v>
      </c>
      <c r="R591" s="44" t="s">
        <v>1595</v>
      </c>
      <c r="S591" s="19" t="s">
        <v>160</v>
      </c>
      <c r="T591" s="19" t="s">
        <v>160</v>
      </c>
      <c r="U591" s="42">
        <v>1</v>
      </c>
      <c r="V591" s="20" t="s">
        <v>160</v>
      </c>
      <c r="W591" s="20" t="s">
        <v>160</v>
      </c>
      <c r="X591" s="85"/>
      <c r="Y591" s="85"/>
      <c r="Z591" s="85"/>
      <c r="AA591" s="85"/>
      <c r="AB591" s="85"/>
      <c r="AC591" s="85"/>
      <c r="AD591" s="85"/>
      <c r="AE591" s="85"/>
      <c r="AF591" s="85"/>
      <c r="AG591" s="85"/>
      <c r="AH591" s="85"/>
      <c r="AI591" s="85"/>
      <c r="AJ591" s="85"/>
      <c r="AK591" s="85"/>
      <c r="AL591" s="85"/>
      <c r="AM591" s="85"/>
      <c r="AN591" s="85"/>
      <c r="AO591" s="85"/>
      <c r="AP591" s="85"/>
      <c r="AQ591" s="85"/>
      <c r="AR591" s="85"/>
      <c r="AS591" s="85"/>
      <c r="AT591" s="85"/>
      <c r="AU591" s="85"/>
      <c r="AV591" s="85"/>
      <c r="AW591" s="85"/>
      <c r="AX591" s="85"/>
      <c r="AY591" s="85"/>
      <c r="AZ591" s="85"/>
      <c r="BA591" s="85"/>
      <c r="BB591" s="85"/>
      <c r="BC591" s="85"/>
      <c r="BD591" s="85"/>
      <c r="BE591" s="85"/>
    </row>
    <row r="592" spans="1:57" s="94" customFormat="1" x14ac:dyDescent="0.25">
      <c r="A592" s="94" t="s">
        <v>2773</v>
      </c>
      <c r="B592" s="139" t="s">
        <v>2797</v>
      </c>
      <c r="C592" s="110" t="s">
        <v>767</v>
      </c>
      <c r="D592" s="163" t="s">
        <v>767</v>
      </c>
      <c r="E592" s="101">
        <f>55+31/60+20.28/3600</f>
        <v>55.522300000000001</v>
      </c>
      <c r="F592" s="101">
        <f>12+53/60+37.06/3600</f>
        <v>12.893627777777777</v>
      </c>
      <c r="G592" s="81"/>
      <c r="H592" s="105" t="s">
        <v>150</v>
      </c>
      <c r="I592" s="105" t="s">
        <v>8</v>
      </c>
      <c r="J592" s="105" t="s">
        <v>8</v>
      </c>
      <c r="K592" s="105" t="s">
        <v>6</v>
      </c>
      <c r="L592" s="105" t="s">
        <v>2030</v>
      </c>
      <c r="M592" s="105" t="s">
        <v>2653</v>
      </c>
      <c r="N592" s="106" t="s">
        <v>1174</v>
      </c>
      <c r="O592" s="104"/>
      <c r="P592" s="106" t="s">
        <v>160</v>
      </c>
      <c r="Q592" s="107" t="s">
        <v>1198</v>
      </c>
      <c r="R592" s="107" t="s">
        <v>1595</v>
      </c>
      <c r="S592" s="108" t="s">
        <v>160</v>
      </c>
      <c r="T592" s="108" t="s">
        <v>160</v>
      </c>
      <c r="U592" s="106">
        <v>1</v>
      </c>
      <c r="V592" s="103" t="s">
        <v>160</v>
      </c>
      <c r="W592" s="103" t="s">
        <v>160</v>
      </c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  <c r="BD592" s="103"/>
      <c r="BE592" s="103"/>
    </row>
    <row r="593" spans="1:57" x14ac:dyDescent="0.25">
      <c r="A593" s="9" t="s">
        <v>8</v>
      </c>
      <c r="B593" s="142" t="s">
        <v>2901</v>
      </c>
      <c r="C593" s="23" t="s">
        <v>767</v>
      </c>
      <c r="D593" t="s">
        <v>767</v>
      </c>
      <c r="E593" s="193">
        <v>55.522300000000001</v>
      </c>
      <c r="F593" s="193">
        <v>12.893599999999999</v>
      </c>
      <c r="G593" s="43"/>
      <c r="H593" s="7" t="s">
        <v>150</v>
      </c>
      <c r="I593" s="7" t="s">
        <v>8</v>
      </c>
      <c r="J593" s="7" t="s">
        <v>8</v>
      </c>
      <c r="K593" s="7" t="s">
        <v>6</v>
      </c>
      <c r="L593" s="7" t="s">
        <v>2030</v>
      </c>
      <c r="M593" s="7" t="s">
        <v>2653</v>
      </c>
      <c r="N593" s="42" t="s">
        <v>1174</v>
      </c>
      <c r="O593" s="22"/>
      <c r="P593" s="42" t="s">
        <v>160</v>
      </c>
      <c r="Q593" s="44" t="s">
        <v>1198</v>
      </c>
      <c r="R593" s="44" t="s">
        <v>1595</v>
      </c>
      <c r="S593" s="19" t="s">
        <v>160</v>
      </c>
      <c r="T593" s="19" t="s">
        <v>160</v>
      </c>
      <c r="U593" s="42">
        <v>1</v>
      </c>
      <c r="V593" s="20" t="s">
        <v>160</v>
      </c>
      <c r="W593" s="20" t="s">
        <v>160</v>
      </c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</row>
    <row r="594" spans="1:57" x14ac:dyDescent="0.25">
      <c r="A594" s="9" t="s">
        <v>706</v>
      </c>
      <c r="B594" s="140">
        <v>147</v>
      </c>
      <c r="C594" s="23" t="s">
        <v>767</v>
      </c>
      <c r="D594" s="88" t="s">
        <v>53</v>
      </c>
      <c r="E594" s="5">
        <f>55+31/60+20/3600</f>
        <v>55.522222222222219</v>
      </c>
      <c r="F594" s="5">
        <f>12+53/60+37/3600</f>
        <v>12.893611111111111</v>
      </c>
      <c r="G594" s="43"/>
      <c r="H594" s="9" t="s">
        <v>150</v>
      </c>
      <c r="I594" s="7" t="s">
        <v>8</v>
      </c>
      <c r="J594" s="7" t="s">
        <v>8</v>
      </c>
      <c r="K594" s="9" t="s">
        <v>6</v>
      </c>
      <c r="L594" s="7" t="s">
        <v>2030</v>
      </c>
      <c r="M594" s="7" t="s">
        <v>2653</v>
      </c>
      <c r="N594" s="42" t="s">
        <v>1174</v>
      </c>
      <c r="O594" s="22"/>
      <c r="P594" s="42" t="s">
        <v>160</v>
      </c>
      <c r="Q594" s="44" t="s">
        <v>1198</v>
      </c>
      <c r="R594" s="44" t="s">
        <v>1595</v>
      </c>
      <c r="S594" s="19" t="s">
        <v>160</v>
      </c>
      <c r="T594" s="19" t="s">
        <v>160</v>
      </c>
      <c r="U594" s="19">
        <v>1</v>
      </c>
      <c r="V594" s="19" t="s">
        <v>160</v>
      </c>
      <c r="W594" s="19" t="s">
        <v>160</v>
      </c>
      <c r="BB594" s="19"/>
      <c r="BC594" s="19"/>
      <c r="BD594" s="19"/>
      <c r="BE594" s="19"/>
    </row>
    <row r="595" spans="1:57" s="94" customFormat="1" x14ac:dyDescent="0.25">
      <c r="A595" s="9" t="s">
        <v>707</v>
      </c>
      <c r="B595" s="39" t="s">
        <v>371</v>
      </c>
      <c r="C595" s="39" t="s">
        <v>940</v>
      </c>
      <c r="D595" s="40" t="s">
        <v>372</v>
      </c>
      <c r="E595" s="46" t="s">
        <v>374</v>
      </c>
      <c r="F595" s="46" t="s">
        <v>373</v>
      </c>
      <c r="G595" s="40"/>
      <c r="H595" s="9" t="s">
        <v>150</v>
      </c>
      <c r="I595" s="41" t="s">
        <v>8</v>
      </c>
      <c r="J595" s="41" t="s">
        <v>8</v>
      </c>
      <c r="K595" s="40" t="s">
        <v>951</v>
      </c>
      <c r="L595" s="41" t="s">
        <v>2686</v>
      </c>
      <c r="M595" s="7" t="s">
        <v>2653</v>
      </c>
      <c r="N595" s="19" t="s">
        <v>1121</v>
      </c>
      <c r="O595" s="22"/>
      <c r="P595" s="19" t="s">
        <v>160</v>
      </c>
      <c r="Q595" s="19"/>
      <c r="R595" s="19"/>
      <c r="S595" s="19" t="s">
        <v>160</v>
      </c>
      <c r="T595" s="19" t="s">
        <v>160</v>
      </c>
      <c r="U595" s="19"/>
      <c r="V595" s="42"/>
      <c r="W595" s="42"/>
      <c r="X595" s="42" t="s">
        <v>160</v>
      </c>
      <c r="Y595" s="42" t="s">
        <v>160</v>
      </c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  <c r="AL595" s="42"/>
      <c r="AM595" s="42"/>
      <c r="AN595" s="42" t="s">
        <v>160</v>
      </c>
      <c r="AO595" s="42" t="s">
        <v>160</v>
      </c>
      <c r="AP595" s="42"/>
      <c r="AQ595" s="42"/>
      <c r="AR595" s="42"/>
      <c r="AS595" s="42"/>
      <c r="AT595" s="19" t="s">
        <v>160</v>
      </c>
      <c r="AU595" s="19" t="s">
        <v>160</v>
      </c>
      <c r="AV595" s="19"/>
      <c r="AW595" s="19"/>
      <c r="AX595" s="19"/>
      <c r="AY595" s="19"/>
      <c r="AZ595" s="42"/>
      <c r="BA595" s="42"/>
      <c r="BB595" s="42"/>
      <c r="BC595" s="42"/>
      <c r="BD595" s="42"/>
      <c r="BE595" s="42"/>
    </row>
    <row r="596" spans="1:57" x14ac:dyDescent="0.25">
      <c r="A596" s="94" t="s">
        <v>2773</v>
      </c>
      <c r="B596" s="115" t="s">
        <v>2971</v>
      </c>
      <c r="C596" s="102" t="s">
        <v>940</v>
      </c>
      <c r="D596" s="153" t="s">
        <v>940</v>
      </c>
      <c r="E596" s="84">
        <f>57+31/60</f>
        <v>57.516666666666666</v>
      </c>
      <c r="F596" s="84">
        <f>17+37/60</f>
        <v>17.616666666666667</v>
      </c>
      <c r="G596" s="84"/>
      <c r="H596" s="94" t="s">
        <v>150</v>
      </c>
      <c r="I596" s="113" t="s">
        <v>8</v>
      </c>
      <c r="J596" s="113" t="s">
        <v>8</v>
      </c>
      <c r="K596" s="112" t="s">
        <v>951</v>
      </c>
      <c r="L596" s="113" t="s">
        <v>2686</v>
      </c>
      <c r="M596" s="105" t="s">
        <v>2653</v>
      </c>
      <c r="N596" s="108" t="s">
        <v>1121</v>
      </c>
      <c r="O596" s="104"/>
      <c r="P596" s="108" t="s">
        <v>160</v>
      </c>
      <c r="Q596" s="108"/>
      <c r="R596" s="108"/>
      <c r="S596" s="108" t="s">
        <v>160</v>
      </c>
      <c r="T596" s="108" t="s">
        <v>160</v>
      </c>
      <c r="U596" s="108"/>
      <c r="V596" s="106"/>
      <c r="W596" s="106"/>
      <c r="X596" s="106" t="s">
        <v>160</v>
      </c>
      <c r="Y596" s="106" t="s">
        <v>160</v>
      </c>
      <c r="Z596" s="106"/>
      <c r="AA596" s="106"/>
      <c r="AB596" s="106"/>
      <c r="AC596" s="106"/>
      <c r="AD596" s="106"/>
      <c r="AE596" s="106"/>
      <c r="AF596" s="106"/>
      <c r="AG596" s="106"/>
      <c r="AH596" s="106"/>
      <c r="AI596" s="106"/>
      <c r="AJ596" s="106"/>
      <c r="AK596" s="106"/>
      <c r="AL596" s="106"/>
      <c r="AM596" s="106"/>
      <c r="AN596" s="106" t="s">
        <v>160</v>
      </c>
      <c r="AO596" s="106" t="s">
        <v>160</v>
      </c>
      <c r="AP596" s="106"/>
      <c r="AQ596" s="106"/>
      <c r="AR596" s="106"/>
      <c r="AS596" s="106"/>
      <c r="AT596" s="108" t="s">
        <v>160</v>
      </c>
      <c r="AU596" s="108" t="s">
        <v>160</v>
      </c>
      <c r="AV596" s="108"/>
      <c r="AW596" s="108"/>
      <c r="AX596" s="108"/>
      <c r="AY596" s="108"/>
      <c r="AZ596" s="106"/>
      <c r="BA596" s="106"/>
      <c r="BB596" s="106"/>
      <c r="BC596" s="106"/>
      <c r="BD596" s="106"/>
      <c r="BE596" s="106"/>
    </row>
    <row r="597" spans="1:57" x14ac:dyDescent="0.25">
      <c r="A597" s="9" t="s">
        <v>8</v>
      </c>
      <c r="B597" s="39">
        <v>33008</v>
      </c>
      <c r="C597" s="24" t="s">
        <v>940</v>
      </c>
      <c r="D597" t="s">
        <v>940</v>
      </c>
      <c r="E597" s="25">
        <f>57+31/60</f>
        <v>57.516666666666666</v>
      </c>
      <c r="F597" s="25">
        <f>17+37/60</f>
        <v>17.616666666666667</v>
      </c>
      <c r="G597" s="25"/>
      <c r="H597" s="9" t="s">
        <v>150</v>
      </c>
      <c r="I597" s="41" t="s">
        <v>8</v>
      </c>
      <c r="J597" s="41" t="s">
        <v>8</v>
      </c>
      <c r="K597" s="40" t="s">
        <v>951</v>
      </c>
      <c r="L597" s="41" t="s">
        <v>2686</v>
      </c>
      <c r="M597" s="7" t="s">
        <v>2653</v>
      </c>
      <c r="N597" s="19" t="s">
        <v>1121</v>
      </c>
      <c r="O597" s="22"/>
      <c r="P597" s="19" t="s">
        <v>160</v>
      </c>
      <c r="S597" s="19" t="s">
        <v>160</v>
      </c>
      <c r="T597" s="19" t="s">
        <v>160</v>
      </c>
      <c r="V597" s="42"/>
      <c r="W597" s="42"/>
      <c r="X597" s="42" t="s">
        <v>160</v>
      </c>
      <c r="Y597" s="42" t="s">
        <v>160</v>
      </c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  <c r="AN597" s="42" t="s">
        <v>160</v>
      </c>
      <c r="AO597" s="42" t="s">
        <v>160</v>
      </c>
      <c r="AP597" s="42"/>
      <c r="AQ597" s="42"/>
      <c r="AR597" s="42"/>
      <c r="AS597" s="42"/>
      <c r="AT597" s="19" t="s">
        <v>160</v>
      </c>
      <c r="AU597" s="19" t="s">
        <v>160</v>
      </c>
      <c r="AZ597" s="42"/>
      <c r="BA597" s="42"/>
      <c r="BB597" s="42"/>
      <c r="BC597" s="42"/>
      <c r="BD597" s="42"/>
      <c r="BE597" s="42"/>
    </row>
    <row r="598" spans="1:57" x14ac:dyDescent="0.25">
      <c r="A598" s="9" t="s">
        <v>706</v>
      </c>
      <c r="B598" s="38">
        <v>7</v>
      </c>
      <c r="C598" s="39" t="s">
        <v>940</v>
      </c>
      <c r="D598" s="62" t="s">
        <v>54</v>
      </c>
      <c r="E598" s="3">
        <f>57+30/60+59/3600</f>
        <v>57.516388888888891</v>
      </c>
      <c r="F598" s="3">
        <f>17+36/60+53/3600</f>
        <v>17.614722222222223</v>
      </c>
      <c r="G598" s="25"/>
      <c r="H598" s="9" t="s">
        <v>150</v>
      </c>
      <c r="I598" s="7" t="s">
        <v>8</v>
      </c>
      <c r="J598" s="7" t="s">
        <v>8</v>
      </c>
      <c r="K598" s="9" t="s">
        <v>951</v>
      </c>
      <c r="L598" s="7" t="s">
        <v>2686</v>
      </c>
      <c r="M598" s="7" t="s">
        <v>2653</v>
      </c>
      <c r="N598" s="19" t="s">
        <v>1121</v>
      </c>
      <c r="O598" s="22"/>
      <c r="P598" s="19" t="s">
        <v>160</v>
      </c>
      <c r="S598" s="19" t="s">
        <v>160</v>
      </c>
      <c r="T598" s="19" t="s">
        <v>160</v>
      </c>
      <c r="X598" s="19" t="s">
        <v>160</v>
      </c>
      <c r="Y598" s="19" t="s">
        <v>160</v>
      </c>
      <c r="AN598" s="19" t="s">
        <v>160</v>
      </c>
      <c r="AO598" s="19" t="s">
        <v>160</v>
      </c>
      <c r="AT598" s="19" t="s">
        <v>160</v>
      </c>
      <c r="AU598" s="19" t="s">
        <v>160</v>
      </c>
      <c r="BB598" s="19"/>
      <c r="BC598" s="19"/>
      <c r="BD598" s="19"/>
      <c r="BE598" s="19"/>
    </row>
    <row r="599" spans="1:57" x14ac:dyDescent="0.25">
      <c r="A599" s="9" t="s">
        <v>707</v>
      </c>
      <c r="B599" s="137" t="s">
        <v>389</v>
      </c>
      <c r="C599" s="23" t="s">
        <v>856</v>
      </c>
      <c r="D599" s="40" t="s">
        <v>390</v>
      </c>
      <c r="E599" s="46" t="s">
        <v>2120</v>
      </c>
      <c r="F599" s="46" t="s">
        <v>2121</v>
      </c>
      <c r="G599" s="40"/>
      <c r="H599" s="9" t="s">
        <v>151</v>
      </c>
      <c r="I599" s="41" t="s">
        <v>169</v>
      </c>
      <c r="J599" s="41" t="s">
        <v>169</v>
      </c>
      <c r="K599" s="40" t="s">
        <v>6</v>
      </c>
      <c r="L599" s="41" t="s">
        <v>2030</v>
      </c>
      <c r="M599" s="7" t="s">
        <v>2653</v>
      </c>
      <c r="V599" s="42" t="s">
        <v>160</v>
      </c>
      <c r="W599" s="42" t="s">
        <v>160</v>
      </c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  <c r="AJ599" s="42"/>
      <c r="AK599" s="42"/>
      <c r="AL599" s="42"/>
      <c r="AM599" s="42"/>
      <c r="AN599" s="42"/>
      <c r="AO599" s="42"/>
      <c r="AP599" s="42"/>
      <c r="AQ599" s="42"/>
      <c r="AR599" s="42"/>
      <c r="AS599" s="42"/>
      <c r="AZ599" s="42"/>
      <c r="BA599" s="42"/>
      <c r="BB599" s="42"/>
      <c r="BC599" s="42"/>
      <c r="BD599" s="42"/>
      <c r="BE599" s="42"/>
    </row>
    <row r="600" spans="1:57" x14ac:dyDescent="0.25">
      <c r="A600" s="53" t="s">
        <v>2763</v>
      </c>
      <c r="B600" s="138">
        <v>35146</v>
      </c>
      <c r="C600" s="53" t="s">
        <v>856</v>
      </c>
      <c r="D600" s="53" t="s">
        <v>2755</v>
      </c>
      <c r="E600" s="25">
        <f>59+29/60+38.4/3600</f>
        <v>59.494</v>
      </c>
      <c r="F600" s="25">
        <f>16+27/60+6.12/3600</f>
        <v>16.451699999999999</v>
      </c>
      <c r="G600" s="53"/>
      <c r="H600" s="9" t="s">
        <v>151</v>
      </c>
      <c r="I600" s="7" t="s">
        <v>169</v>
      </c>
      <c r="J600" s="53" t="s">
        <v>169</v>
      </c>
      <c r="K600" s="24" t="s">
        <v>6</v>
      </c>
      <c r="L600" s="24" t="s">
        <v>2030</v>
      </c>
      <c r="M600" s="7" t="s">
        <v>2653</v>
      </c>
      <c r="V600" s="19" t="s">
        <v>160</v>
      </c>
      <c r="W600" s="19" t="s">
        <v>160</v>
      </c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94" customFormat="1" x14ac:dyDescent="0.25">
      <c r="A601" s="114" t="s">
        <v>2773</v>
      </c>
      <c r="B601" s="139" t="s">
        <v>2798</v>
      </c>
      <c r="C601" s="110" t="s">
        <v>856</v>
      </c>
      <c r="D601" s="153" t="s">
        <v>59</v>
      </c>
      <c r="E601" s="84">
        <f>59+29/60+38.4/3600</f>
        <v>59.494</v>
      </c>
      <c r="F601" s="84">
        <f>16+27/60+6.12/3600</f>
        <v>16.451699999999999</v>
      </c>
      <c r="G601" s="84"/>
      <c r="H601" s="94" t="s">
        <v>151</v>
      </c>
      <c r="I601" s="102" t="s">
        <v>169</v>
      </c>
      <c r="J601" s="102" t="s">
        <v>169</v>
      </c>
      <c r="K601" s="102" t="s">
        <v>6</v>
      </c>
      <c r="L601" s="102" t="s">
        <v>2030</v>
      </c>
      <c r="M601" s="105" t="s">
        <v>2653</v>
      </c>
      <c r="N601" s="108"/>
      <c r="O601" s="108"/>
      <c r="P601" s="108"/>
      <c r="Q601" s="108"/>
      <c r="R601" s="108"/>
      <c r="S601" s="108"/>
      <c r="T601" s="108"/>
      <c r="U601" s="108"/>
      <c r="V601" s="108" t="s">
        <v>160</v>
      </c>
      <c r="W601" s="108" t="s">
        <v>160</v>
      </c>
      <c r="X601" s="108"/>
      <c r="Y601" s="108"/>
      <c r="Z601" s="108"/>
      <c r="AA601" s="108"/>
      <c r="AB601" s="108"/>
      <c r="AC601" s="108"/>
      <c r="AD601" s="108"/>
      <c r="AE601" s="108"/>
      <c r="AF601" s="108"/>
      <c r="AG601" s="108"/>
      <c r="AH601" s="108"/>
      <c r="AI601" s="108"/>
      <c r="AJ601" s="108"/>
      <c r="AK601" s="108"/>
      <c r="AL601" s="108"/>
      <c r="AM601" s="108"/>
      <c r="AN601" s="108"/>
      <c r="AO601" s="108"/>
      <c r="AP601" s="108"/>
      <c r="AQ601" s="108"/>
      <c r="AR601" s="108"/>
      <c r="AS601" s="108"/>
      <c r="AT601" s="108"/>
      <c r="AU601" s="108"/>
      <c r="AV601" s="108"/>
      <c r="AW601" s="108"/>
      <c r="AX601" s="108"/>
      <c r="AY601" s="108"/>
      <c r="AZ601" s="108"/>
      <c r="BA601" s="108"/>
      <c r="BB601" s="108"/>
      <c r="BC601" s="108"/>
      <c r="BD601" s="108"/>
      <c r="BE601" s="108"/>
    </row>
    <row r="602" spans="1:57" x14ac:dyDescent="0.25">
      <c r="A602" s="6" t="s">
        <v>8</v>
      </c>
      <c r="B602" s="142" t="s">
        <v>2902</v>
      </c>
      <c r="C602" s="23" t="s">
        <v>856</v>
      </c>
      <c r="D602" s="24" t="s">
        <v>814</v>
      </c>
      <c r="E602" s="199">
        <f>59+29/60+38.4/3600</f>
        <v>59.494</v>
      </c>
      <c r="F602" s="199">
        <f>16+27/60+6.12/3600</f>
        <v>16.451699999999999</v>
      </c>
      <c r="G602" s="25"/>
      <c r="H602" s="9" t="s">
        <v>151</v>
      </c>
      <c r="I602" s="24" t="s">
        <v>169</v>
      </c>
      <c r="J602" s="24" t="s">
        <v>169</v>
      </c>
      <c r="K602" s="24" t="s">
        <v>6</v>
      </c>
      <c r="L602" s="24" t="s">
        <v>2030</v>
      </c>
      <c r="M602" s="7" t="s">
        <v>2653</v>
      </c>
      <c r="V602" s="19" t="s">
        <v>160</v>
      </c>
      <c r="W602" s="19" t="s">
        <v>160</v>
      </c>
      <c r="BB602" s="19"/>
      <c r="BC602" s="19"/>
      <c r="BD602" s="19"/>
      <c r="BE602" s="19"/>
    </row>
    <row r="603" spans="1:57" x14ac:dyDescent="0.25">
      <c r="A603" s="9" t="s">
        <v>706</v>
      </c>
      <c r="B603" s="140">
        <v>53</v>
      </c>
      <c r="C603" s="23" t="s">
        <v>856</v>
      </c>
      <c r="D603" s="62" t="s">
        <v>59</v>
      </c>
      <c r="E603" s="3">
        <f>59+29/60+38/3600</f>
        <v>59.49388888888889</v>
      </c>
      <c r="F603" s="3">
        <f>16+2/60+43/3600</f>
        <v>16.04527777777778</v>
      </c>
      <c r="G603" s="25"/>
      <c r="H603" s="9" t="s">
        <v>151</v>
      </c>
      <c r="I603" s="7" t="s">
        <v>169</v>
      </c>
      <c r="J603" s="7" t="s">
        <v>169</v>
      </c>
      <c r="K603" s="9" t="s">
        <v>6</v>
      </c>
      <c r="L603" s="7" t="s">
        <v>2030</v>
      </c>
      <c r="M603" s="7" t="s">
        <v>2653</v>
      </c>
      <c r="V603" s="19" t="s">
        <v>160</v>
      </c>
      <c r="W603" s="19" t="s">
        <v>160</v>
      </c>
      <c r="BB603" s="19"/>
      <c r="BC603" s="19"/>
      <c r="BD603" s="19"/>
      <c r="BE603" s="19"/>
    </row>
    <row r="604" spans="1:57" x14ac:dyDescent="0.25">
      <c r="A604" s="9" t="s">
        <v>707</v>
      </c>
      <c r="B604" s="39" t="s">
        <v>391</v>
      </c>
      <c r="C604" s="39" t="s">
        <v>908</v>
      </c>
      <c r="D604" s="40" t="s">
        <v>392</v>
      </c>
      <c r="E604" s="46" t="s">
        <v>394</v>
      </c>
      <c r="F604" s="46" t="s">
        <v>393</v>
      </c>
      <c r="G604" s="40"/>
      <c r="H604" s="9" t="s">
        <v>150</v>
      </c>
      <c r="I604" s="41" t="s">
        <v>395</v>
      </c>
      <c r="J604" s="7" t="s">
        <v>169</v>
      </c>
      <c r="K604" s="40" t="s">
        <v>5</v>
      </c>
      <c r="L604" s="41" t="s">
        <v>2043</v>
      </c>
      <c r="M604" s="7" t="s">
        <v>2653</v>
      </c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2"/>
      <c r="AJ604" s="42"/>
      <c r="AK604" s="42"/>
      <c r="AL604" s="42"/>
      <c r="AM604" s="42"/>
      <c r="AN604" s="42"/>
      <c r="AO604" s="42"/>
      <c r="AP604" s="42"/>
      <c r="AQ604" s="42"/>
      <c r="AR604" s="42" t="s">
        <v>160</v>
      </c>
      <c r="AS604" s="42" t="s">
        <v>160</v>
      </c>
      <c r="AZ604" s="42"/>
      <c r="BA604" s="42"/>
      <c r="BB604" s="42"/>
      <c r="BC604" s="42"/>
      <c r="BD604" s="42"/>
      <c r="BE604" s="42"/>
    </row>
    <row r="605" spans="1:57" s="94" customFormat="1" x14ac:dyDescent="0.25">
      <c r="A605" s="94" t="s">
        <v>2773</v>
      </c>
      <c r="B605" s="115" t="s">
        <v>2972</v>
      </c>
      <c r="C605" s="110" t="s">
        <v>908</v>
      </c>
      <c r="D605" s="111" t="s">
        <v>2710</v>
      </c>
      <c r="E605" s="148">
        <f>63+10/60+20/3600</f>
        <v>63.172222222222217</v>
      </c>
      <c r="F605" s="148">
        <f>18+35/60+17/3600</f>
        <v>18.588055555555556</v>
      </c>
      <c r="G605" s="112"/>
      <c r="H605" s="94" t="s">
        <v>150</v>
      </c>
      <c r="I605" s="113" t="s">
        <v>395</v>
      </c>
      <c r="J605" s="105" t="s">
        <v>169</v>
      </c>
      <c r="K605" s="112" t="s">
        <v>5</v>
      </c>
      <c r="L605" s="113" t="s">
        <v>2043</v>
      </c>
      <c r="M605" s="105" t="s">
        <v>2653</v>
      </c>
      <c r="N605" s="108"/>
      <c r="O605" s="108"/>
      <c r="P605" s="108"/>
      <c r="Q605" s="108"/>
      <c r="R605" s="108"/>
      <c r="S605" s="108"/>
      <c r="T605" s="108"/>
      <c r="U605" s="108"/>
      <c r="V605" s="106"/>
      <c r="W605" s="106"/>
      <c r="X605" s="106"/>
      <c r="Y605" s="106"/>
      <c r="Z605" s="106"/>
      <c r="AA605" s="106"/>
      <c r="AB605" s="106"/>
      <c r="AC605" s="106"/>
      <c r="AD605" s="106"/>
      <c r="AE605" s="106"/>
      <c r="AF605" s="106"/>
      <c r="AG605" s="106"/>
      <c r="AH605" s="106"/>
      <c r="AI605" s="106"/>
      <c r="AJ605" s="106"/>
      <c r="AK605" s="106"/>
      <c r="AL605" s="106"/>
      <c r="AM605" s="106"/>
      <c r="AN605" s="106"/>
      <c r="AO605" s="106"/>
      <c r="AP605" s="106"/>
      <c r="AQ605" s="106"/>
      <c r="AR605" s="106" t="s">
        <v>160</v>
      </c>
      <c r="AS605" s="106" t="s">
        <v>160</v>
      </c>
      <c r="AT605" s="108"/>
      <c r="AU605" s="108"/>
      <c r="AV605" s="108"/>
      <c r="AW605" s="108"/>
      <c r="AX605" s="108"/>
      <c r="AY605" s="108"/>
      <c r="AZ605" s="106"/>
      <c r="BA605" s="106"/>
      <c r="BB605" s="106"/>
      <c r="BC605" s="106"/>
      <c r="BD605" s="106"/>
      <c r="BE605" s="106"/>
    </row>
    <row r="606" spans="1:57" x14ac:dyDescent="0.25">
      <c r="A606" s="9" t="s">
        <v>8</v>
      </c>
      <c r="B606" s="58" t="s">
        <v>875</v>
      </c>
      <c r="C606" s="23" t="s">
        <v>908</v>
      </c>
      <c r="D606" t="s">
        <v>2710</v>
      </c>
      <c r="E606" s="57">
        <f>63+10/60+20/3600</f>
        <v>63.172222222222217</v>
      </c>
      <c r="F606" s="57">
        <f>18+35/60+17/3600</f>
        <v>18.588055555555556</v>
      </c>
      <c r="G606" s="40"/>
      <c r="H606" s="9" t="s">
        <v>150</v>
      </c>
      <c r="I606" s="41" t="s">
        <v>395</v>
      </c>
      <c r="J606" s="7" t="s">
        <v>169</v>
      </c>
      <c r="K606" s="40" t="s">
        <v>5</v>
      </c>
      <c r="L606" s="41" t="s">
        <v>2043</v>
      </c>
      <c r="M606" s="7" t="s">
        <v>2653</v>
      </c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2"/>
      <c r="AJ606" s="42"/>
      <c r="AK606" s="42"/>
      <c r="AL606" s="42"/>
      <c r="AM606" s="42"/>
      <c r="AN606" s="42"/>
      <c r="AO606" s="42"/>
      <c r="AP606" s="42"/>
      <c r="AQ606" s="42"/>
      <c r="AR606" s="42" t="s">
        <v>160</v>
      </c>
      <c r="AS606" s="42" t="s">
        <v>160</v>
      </c>
      <c r="AZ606" s="42"/>
      <c r="BA606" s="42"/>
      <c r="BB606" s="42"/>
      <c r="BC606" s="42"/>
      <c r="BD606" s="42"/>
      <c r="BE606" s="42"/>
    </row>
    <row r="607" spans="1:57" x14ac:dyDescent="0.25">
      <c r="A607" s="9" t="s">
        <v>706</v>
      </c>
      <c r="B607" s="39">
        <v>184</v>
      </c>
      <c r="C607" s="23" t="s">
        <v>908</v>
      </c>
      <c r="D607" s="61" t="s">
        <v>2710</v>
      </c>
      <c r="E607" s="52">
        <f>63+10/60+20/3600</f>
        <v>63.172222222222217</v>
      </c>
      <c r="F607" s="52">
        <f>18+35/60+17/3600</f>
        <v>18.588055555555556</v>
      </c>
      <c r="G607" s="40"/>
      <c r="H607" s="9" t="s">
        <v>150</v>
      </c>
      <c r="I607" s="41" t="s">
        <v>395</v>
      </c>
      <c r="J607" s="7" t="s">
        <v>169</v>
      </c>
      <c r="K607" s="40" t="s">
        <v>5</v>
      </c>
      <c r="L607" s="41" t="s">
        <v>2043</v>
      </c>
      <c r="M607" s="7" t="s">
        <v>2653</v>
      </c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  <c r="AJ607" s="42"/>
      <c r="AK607" s="42"/>
      <c r="AL607" s="42"/>
      <c r="AM607" s="42"/>
      <c r="AN607" s="42"/>
      <c r="AO607" s="42"/>
      <c r="AP607" s="42"/>
      <c r="AQ607" s="42"/>
      <c r="AR607" s="42" t="s">
        <v>160</v>
      </c>
      <c r="AS607" s="42" t="s">
        <v>160</v>
      </c>
      <c r="AZ607" s="42"/>
      <c r="BA607" s="42"/>
      <c r="BB607" s="42"/>
      <c r="BC607" s="42"/>
      <c r="BD607" s="42"/>
      <c r="BE607" s="42"/>
    </row>
    <row r="608" spans="1:57" x14ac:dyDescent="0.25">
      <c r="A608" s="9" t="s">
        <v>8</v>
      </c>
      <c r="B608" s="26">
        <v>35005</v>
      </c>
      <c r="C608" s="24" t="s">
        <v>1035</v>
      </c>
      <c r="D608" t="s">
        <v>1036</v>
      </c>
      <c r="E608" s="25">
        <f>58+35/60</f>
        <v>58.583333333333336</v>
      </c>
      <c r="F608" s="25">
        <f>19+9/60</f>
        <v>19.149999999999999</v>
      </c>
      <c r="G608" s="9"/>
      <c r="H608" s="9" t="s">
        <v>150</v>
      </c>
      <c r="I608" s="9" t="s">
        <v>8</v>
      </c>
      <c r="J608" s="7" t="s">
        <v>8</v>
      </c>
      <c r="K608" s="10" t="s">
        <v>953</v>
      </c>
      <c r="L608" s="7" t="s">
        <v>2685</v>
      </c>
      <c r="M608" s="7" t="s">
        <v>717</v>
      </c>
      <c r="N608" s="42" t="s">
        <v>1342</v>
      </c>
      <c r="O608" s="22"/>
      <c r="P608" s="42"/>
      <c r="S608" s="19" t="s">
        <v>160</v>
      </c>
      <c r="T608" s="19" t="s">
        <v>160</v>
      </c>
      <c r="U608" s="42"/>
      <c r="X608" s="19" t="s">
        <v>160</v>
      </c>
      <c r="Z608" s="19" t="s">
        <v>160</v>
      </c>
      <c r="AL608" s="19" t="s">
        <v>160</v>
      </c>
      <c r="AR608" s="19" t="s">
        <v>160</v>
      </c>
      <c r="AT608" s="19" t="s">
        <v>160</v>
      </c>
      <c r="BB608" s="19"/>
      <c r="BC608" s="19"/>
      <c r="BD608" s="19"/>
      <c r="BE608" s="19"/>
    </row>
    <row r="609" spans="1:57" x14ac:dyDescent="0.25">
      <c r="A609" s="9" t="s">
        <v>8</v>
      </c>
      <c r="B609" s="26">
        <v>33026</v>
      </c>
      <c r="C609" s="24" t="s">
        <v>1000</v>
      </c>
      <c r="D609" t="s">
        <v>1000</v>
      </c>
      <c r="E609" s="3">
        <v>58.882800000000003</v>
      </c>
      <c r="F609" s="3">
        <v>11.0959</v>
      </c>
      <c r="G609" s="55"/>
      <c r="H609" s="9" t="s">
        <v>150</v>
      </c>
      <c r="I609" s="24" t="s">
        <v>8</v>
      </c>
      <c r="J609" s="24" t="s">
        <v>8</v>
      </c>
      <c r="K609" s="9" t="s">
        <v>951</v>
      </c>
      <c r="L609" s="7" t="s">
        <v>2683</v>
      </c>
      <c r="M609" s="7" t="s">
        <v>2653</v>
      </c>
      <c r="N609" s="42" t="s">
        <v>1124</v>
      </c>
      <c r="O609" s="22"/>
      <c r="P609" s="42" t="s">
        <v>160</v>
      </c>
      <c r="U609" s="42"/>
      <c r="X609" s="19" t="s">
        <v>160</v>
      </c>
      <c r="Y609" s="19" t="s">
        <v>160</v>
      </c>
      <c r="Z609" s="19" t="s">
        <v>160</v>
      </c>
      <c r="AA609" s="19" t="s">
        <v>160</v>
      </c>
      <c r="AB609" s="19" t="s">
        <v>160</v>
      </c>
      <c r="AC609" s="19" t="s">
        <v>160</v>
      </c>
      <c r="AD609" s="19" t="s">
        <v>160</v>
      </c>
      <c r="AE609" s="19" t="s">
        <v>160</v>
      </c>
      <c r="AJ609" s="19" t="s">
        <v>160</v>
      </c>
      <c r="AK609" s="19" t="s">
        <v>160</v>
      </c>
      <c r="AL609" s="19" t="s">
        <v>160</v>
      </c>
      <c r="AM609" s="19" t="s">
        <v>160</v>
      </c>
      <c r="AT609" s="19" t="s">
        <v>160</v>
      </c>
      <c r="AU609" s="19" t="s">
        <v>160</v>
      </c>
      <c r="AV609" s="19" t="s">
        <v>160</v>
      </c>
      <c r="AW609" s="19" t="s">
        <v>160</v>
      </c>
      <c r="BB609" s="19"/>
      <c r="BC609" s="19"/>
      <c r="BD609" s="19"/>
      <c r="BE609" s="19"/>
    </row>
    <row r="610" spans="1:57" x14ac:dyDescent="0.25">
      <c r="A610" s="9" t="s">
        <v>8</v>
      </c>
      <c r="B610" s="27">
        <v>37309</v>
      </c>
      <c r="C610" s="28" t="s">
        <v>1936</v>
      </c>
      <c r="D610" s="28" t="s">
        <v>1000</v>
      </c>
      <c r="E610" s="25">
        <v>58.9</v>
      </c>
      <c r="F610" s="25">
        <v>11.083299999999999</v>
      </c>
      <c r="H610" s="9" t="s">
        <v>150</v>
      </c>
      <c r="I610" s="10" t="s">
        <v>8</v>
      </c>
      <c r="J610" s="24" t="s">
        <v>8</v>
      </c>
      <c r="K610" s="6" t="s">
        <v>2455</v>
      </c>
      <c r="L610" s="7" t="s">
        <v>2027</v>
      </c>
      <c r="M610" s="28" t="s">
        <v>717</v>
      </c>
      <c r="N610" s="19" t="s">
        <v>1839</v>
      </c>
      <c r="O610" s="22"/>
      <c r="T610" s="7"/>
      <c r="X610" s="19" t="s">
        <v>160</v>
      </c>
      <c r="BA610" s="7"/>
      <c r="BB610" s="7"/>
      <c r="BC610" s="7"/>
      <c r="BD610" s="7"/>
      <c r="BE610" s="7"/>
    </row>
    <row r="611" spans="1:57" x14ac:dyDescent="0.25">
      <c r="A611" s="9" t="s">
        <v>8</v>
      </c>
      <c r="B611" s="26">
        <v>35062</v>
      </c>
      <c r="C611" s="24" t="s">
        <v>1078</v>
      </c>
      <c r="D611" s="24" t="s">
        <v>1078</v>
      </c>
      <c r="E611" s="25">
        <f>56+10/60</f>
        <v>56.166666666666664</v>
      </c>
      <c r="F611" s="25">
        <f>16+7/60</f>
        <v>16.116666666666667</v>
      </c>
      <c r="G611" s="9"/>
      <c r="H611" s="9" t="s">
        <v>150</v>
      </c>
      <c r="I611" s="9" t="s">
        <v>8</v>
      </c>
      <c r="J611" s="7" t="s">
        <v>8</v>
      </c>
      <c r="K611" s="10" t="s">
        <v>951</v>
      </c>
      <c r="L611" s="7" t="s">
        <v>2044</v>
      </c>
      <c r="M611" s="7" t="s">
        <v>717</v>
      </c>
      <c r="N611" s="42" t="s">
        <v>2012</v>
      </c>
      <c r="O611" s="22"/>
      <c r="P611" s="42" t="s">
        <v>160</v>
      </c>
      <c r="S611" s="42" t="s">
        <v>160</v>
      </c>
      <c r="T611" s="19" t="s">
        <v>160</v>
      </c>
      <c r="U611" s="42"/>
      <c r="AN611" s="19" t="s">
        <v>160</v>
      </c>
      <c r="BB611" s="19"/>
      <c r="BC611" s="19"/>
      <c r="BD611" s="19"/>
      <c r="BE611" s="19"/>
    </row>
    <row r="612" spans="1:57" x14ac:dyDescent="0.25">
      <c r="A612" s="6" t="s">
        <v>8</v>
      </c>
      <c r="B612" s="9">
        <v>64030</v>
      </c>
      <c r="C612" s="9" t="s">
        <v>2402</v>
      </c>
      <c r="D612" s="9" t="s">
        <v>1436</v>
      </c>
      <c r="E612" s="3">
        <v>56.033200000000001</v>
      </c>
      <c r="F612" s="3">
        <v>14.1762</v>
      </c>
      <c r="G612" s="9">
        <v>3</v>
      </c>
      <c r="H612" s="9"/>
      <c r="I612" s="6" t="s">
        <v>8</v>
      </c>
      <c r="J612" s="21" t="s">
        <v>8</v>
      </c>
      <c r="K612" s="3" t="s">
        <v>5</v>
      </c>
      <c r="L612" s="5" t="s">
        <v>2059</v>
      </c>
      <c r="M612" s="5" t="s">
        <v>717</v>
      </c>
      <c r="N612" s="19" t="s">
        <v>2283</v>
      </c>
      <c r="O612" s="22"/>
      <c r="P612" s="19" t="s">
        <v>160</v>
      </c>
      <c r="AR612" s="19" t="s">
        <v>160</v>
      </c>
      <c r="AV612" s="19" t="s">
        <v>160</v>
      </c>
      <c r="AX612" s="19" t="s">
        <v>160</v>
      </c>
      <c r="AZ612" s="19" t="s">
        <v>160</v>
      </c>
      <c r="BB612" s="19"/>
      <c r="BC612" s="19"/>
      <c r="BD612" s="19"/>
      <c r="BE612" s="19"/>
    </row>
    <row r="613" spans="1:57" x14ac:dyDescent="0.25">
      <c r="A613" s="6" t="s">
        <v>8</v>
      </c>
      <c r="B613" s="9">
        <v>64030</v>
      </c>
      <c r="C613" s="9" t="s">
        <v>2402</v>
      </c>
      <c r="D613" s="9" t="s">
        <v>1436</v>
      </c>
      <c r="E613" s="3">
        <v>56.013300000000001</v>
      </c>
      <c r="F613" s="3">
        <v>14.2896</v>
      </c>
      <c r="G613" s="9">
        <v>10</v>
      </c>
      <c r="H613" s="9"/>
      <c r="I613" s="21" t="s">
        <v>8</v>
      </c>
      <c r="J613" s="21" t="s">
        <v>8</v>
      </c>
      <c r="K613" s="3" t="s">
        <v>5</v>
      </c>
      <c r="L613" s="5" t="s">
        <v>2028</v>
      </c>
      <c r="M613" s="5" t="s">
        <v>2653</v>
      </c>
      <c r="N613" s="19" t="s">
        <v>2282</v>
      </c>
      <c r="O613" s="22"/>
      <c r="P613" s="19" t="s">
        <v>160</v>
      </c>
      <c r="AR613" s="29"/>
      <c r="AS613" s="29"/>
      <c r="AT613" s="19" t="s">
        <v>160</v>
      </c>
      <c r="AU613" s="19" t="s">
        <v>160</v>
      </c>
      <c r="BB613" s="19"/>
      <c r="BC613" s="19"/>
      <c r="BD613" s="19"/>
      <c r="BE613" s="19"/>
    </row>
    <row r="614" spans="1:57" x14ac:dyDescent="0.25">
      <c r="A614" s="6" t="s">
        <v>8</v>
      </c>
      <c r="B614" s="9">
        <v>54990</v>
      </c>
      <c r="C614" s="9" t="s">
        <v>1437</v>
      </c>
      <c r="D614" s="9" t="s">
        <v>1438</v>
      </c>
      <c r="E614" s="3">
        <v>56.023899999999998</v>
      </c>
      <c r="F614" s="3">
        <v>14.1027</v>
      </c>
      <c r="G614" s="9">
        <v>7</v>
      </c>
      <c r="H614" s="9"/>
      <c r="I614" s="6" t="s">
        <v>8</v>
      </c>
      <c r="J614" s="21" t="s">
        <v>8</v>
      </c>
      <c r="K614" s="3" t="s">
        <v>5</v>
      </c>
      <c r="L614" s="5" t="s">
        <v>2693</v>
      </c>
      <c r="M614" s="7" t="s">
        <v>717</v>
      </c>
      <c r="N614" s="19" t="s">
        <v>2281</v>
      </c>
      <c r="O614" s="22"/>
      <c r="P614" s="19" t="s">
        <v>160</v>
      </c>
      <c r="AR614" s="19" t="s">
        <v>160</v>
      </c>
      <c r="AT614" s="19" t="s">
        <v>160</v>
      </c>
      <c r="AX614" s="19" t="s">
        <v>160</v>
      </c>
      <c r="BB614" s="19"/>
      <c r="BC614" s="19"/>
      <c r="BD614" s="19"/>
      <c r="BE614" s="19"/>
    </row>
    <row r="615" spans="1:57" x14ac:dyDescent="0.25">
      <c r="A615" s="9" t="s">
        <v>8</v>
      </c>
      <c r="B615" s="26">
        <v>33025</v>
      </c>
      <c r="C615" s="24" t="s">
        <v>730</v>
      </c>
      <c r="D615" t="s">
        <v>730</v>
      </c>
      <c r="E615" s="25">
        <v>58.2592</v>
      </c>
      <c r="F615" s="25">
        <v>11.4617</v>
      </c>
      <c r="G615" s="55"/>
      <c r="H615" s="9" t="s">
        <v>150</v>
      </c>
      <c r="I615" s="24" t="s">
        <v>1026</v>
      </c>
      <c r="J615" s="24" t="s">
        <v>8</v>
      </c>
      <c r="K615" s="9" t="s">
        <v>951</v>
      </c>
      <c r="L615" s="7" t="s">
        <v>2683</v>
      </c>
      <c r="M615" s="7" t="s">
        <v>2653</v>
      </c>
      <c r="N615" s="42" t="s">
        <v>1118</v>
      </c>
      <c r="O615" s="42"/>
      <c r="P615" s="42" t="s">
        <v>160</v>
      </c>
      <c r="S615" s="19" t="s">
        <v>160</v>
      </c>
      <c r="T615" s="19" t="s">
        <v>160</v>
      </c>
      <c r="U615" s="42"/>
      <c r="X615" s="19" t="s">
        <v>160</v>
      </c>
      <c r="Y615" s="19" t="s">
        <v>160</v>
      </c>
      <c r="Z615" s="19" t="s">
        <v>160</v>
      </c>
      <c r="AA615" s="19" t="s">
        <v>160</v>
      </c>
      <c r="AB615" s="19" t="s">
        <v>160</v>
      </c>
      <c r="AC615" s="19" t="s">
        <v>160</v>
      </c>
      <c r="AD615" s="19" t="s">
        <v>160</v>
      </c>
      <c r="AE615" s="19" t="s">
        <v>160</v>
      </c>
      <c r="AJ615" s="19" t="s">
        <v>160</v>
      </c>
      <c r="AK615" s="19" t="s">
        <v>160</v>
      </c>
      <c r="AL615" s="19" t="s">
        <v>160</v>
      </c>
      <c r="AM615" s="19" t="s">
        <v>160</v>
      </c>
      <c r="AT615" s="19" t="s">
        <v>160</v>
      </c>
      <c r="AU615" s="19" t="s">
        <v>160</v>
      </c>
      <c r="AV615" s="19" t="s">
        <v>160</v>
      </c>
      <c r="AW615" s="19" t="s">
        <v>160</v>
      </c>
      <c r="BB615" s="19"/>
      <c r="BC615" s="19"/>
      <c r="BD615" s="19"/>
      <c r="BE615" s="19"/>
    </row>
    <row r="616" spans="1:57" s="94" customFormat="1" x14ac:dyDescent="0.25">
      <c r="A616" s="105" t="s">
        <v>2773</v>
      </c>
      <c r="B616" s="139" t="s">
        <v>3046</v>
      </c>
      <c r="C616" s="110" t="s">
        <v>860</v>
      </c>
      <c r="D616" s="102" t="s">
        <v>730</v>
      </c>
      <c r="E616" s="133">
        <f>58+15/60+0/3600</f>
        <v>58.25</v>
      </c>
      <c r="F616" s="133">
        <f>11+26/60+45/3600</f>
        <v>11.445833333333333</v>
      </c>
      <c r="G616" s="81"/>
      <c r="H616" s="105" t="s">
        <v>150</v>
      </c>
      <c r="I616" s="105" t="s">
        <v>719</v>
      </c>
      <c r="J616" s="105" t="s">
        <v>8</v>
      </c>
      <c r="K616" s="105" t="s">
        <v>6</v>
      </c>
      <c r="L616" s="105" t="s">
        <v>2030</v>
      </c>
      <c r="M616" s="105" t="s">
        <v>2653</v>
      </c>
      <c r="N616" s="106" t="s">
        <v>1123</v>
      </c>
      <c r="O616" s="106"/>
      <c r="P616" s="106"/>
      <c r="Q616" s="108" t="s">
        <v>1200</v>
      </c>
      <c r="R616" s="108"/>
      <c r="S616" s="108" t="s">
        <v>160</v>
      </c>
      <c r="T616" s="108" t="s">
        <v>160</v>
      </c>
      <c r="U616" s="106">
        <v>3</v>
      </c>
      <c r="V616" s="103" t="s">
        <v>160</v>
      </c>
      <c r="W616" s="103" t="s">
        <v>160</v>
      </c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  <c r="BD616" s="103"/>
      <c r="BE616" s="103"/>
    </row>
    <row r="617" spans="1:57" x14ac:dyDescent="0.25">
      <c r="A617" s="7" t="s">
        <v>8</v>
      </c>
      <c r="B617" s="142">
        <v>33099</v>
      </c>
      <c r="C617" s="23" t="s">
        <v>860</v>
      </c>
      <c r="D617" s="24" t="s">
        <v>730</v>
      </c>
      <c r="E617" s="66">
        <f>58+15/60+0/3600</f>
        <v>58.25</v>
      </c>
      <c r="F617" s="66">
        <f>11+26/60+45/3600</f>
        <v>11.445833333333333</v>
      </c>
      <c r="G617" s="43"/>
      <c r="H617" s="7" t="s">
        <v>150</v>
      </c>
      <c r="I617" s="7" t="s">
        <v>719</v>
      </c>
      <c r="J617" s="7" t="s">
        <v>8</v>
      </c>
      <c r="K617" s="7" t="s">
        <v>6</v>
      </c>
      <c r="L617" s="7" t="s">
        <v>2030</v>
      </c>
      <c r="M617" s="7" t="s">
        <v>2653</v>
      </c>
      <c r="N617" s="42" t="s">
        <v>1123</v>
      </c>
      <c r="O617" s="42"/>
      <c r="P617" s="42"/>
      <c r="Q617" s="19" t="s">
        <v>1200</v>
      </c>
      <c r="S617" s="19" t="s">
        <v>160</v>
      </c>
      <c r="T617" s="19" t="s">
        <v>160</v>
      </c>
      <c r="U617" s="42">
        <v>3</v>
      </c>
      <c r="V617" s="20" t="s">
        <v>160</v>
      </c>
      <c r="W617" s="20" t="s">
        <v>160</v>
      </c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</row>
    <row r="618" spans="1:57" x14ac:dyDescent="0.25">
      <c r="A618" s="6" t="s">
        <v>8</v>
      </c>
      <c r="B618" s="9">
        <v>81150</v>
      </c>
      <c r="C618" s="9" t="s">
        <v>2269</v>
      </c>
      <c r="D618" s="9" t="s">
        <v>730</v>
      </c>
      <c r="E618" s="35">
        <v>58.25</v>
      </c>
      <c r="F618" s="35">
        <v>11.45</v>
      </c>
      <c r="G618" s="9">
        <v>5</v>
      </c>
      <c r="H618" s="3" t="s">
        <v>150</v>
      </c>
      <c r="I618" s="6" t="s">
        <v>8</v>
      </c>
      <c r="J618" s="21" t="s">
        <v>8</v>
      </c>
      <c r="K618" s="3" t="s">
        <v>5</v>
      </c>
      <c r="L618" s="5" t="s">
        <v>2028</v>
      </c>
      <c r="M618" s="5" t="s">
        <v>717</v>
      </c>
      <c r="N618" s="19">
        <v>1955</v>
      </c>
      <c r="O618" s="22"/>
      <c r="P618" s="19" t="s">
        <v>160</v>
      </c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19" t="s">
        <v>160</v>
      </c>
      <c r="BB618" s="19"/>
      <c r="BC618" s="19"/>
      <c r="BD618" s="19"/>
      <c r="BE618" s="19"/>
    </row>
    <row r="619" spans="1:57" x14ac:dyDescent="0.25">
      <c r="A619" s="9" t="s">
        <v>8</v>
      </c>
      <c r="B619" s="27">
        <v>37402</v>
      </c>
      <c r="C619" s="28" t="s">
        <v>1937</v>
      </c>
      <c r="D619" s="28" t="s">
        <v>1808</v>
      </c>
      <c r="E619" s="25">
        <v>59.2333</v>
      </c>
      <c r="F619" s="25">
        <v>14</v>
      </c>
      <c r="H619" s="9" t="s">
        <v>148</v>
      </c>
      <c r="I619" s="3" t="s">
        <v>8</v>
      </c>
      <c r="J619" s="5" t="s">
        <v>8</v>
      </c>
      <c r="K619" s="6" t="s">
        <v>2455</v>
      </c>
      <c r="L619" s="7" t="s">
        <v>2027</v>
      </c>
      <c r="M619" s="28" t="s">
        <v>717</v>
      </c>
      <c r="N619" s="19" t="s">
        <v>1871</v>
      </c>
      <c r="O619" s="22"/>
      <c r="T619" s="7"/>
      <c r="X619" s="19" t="s">
        <v>160</v>
      </c>
      <c r="BA619" s="7"/>
      <c r="BB619" s="7"/>
      <c r="BC619" s="7"/>
      <c r="BD619" s="7"/>
      <c r="BE619" s="7"/>
    </row>
    <row r="620" spans="1:57" x14ac:dyDescent="0.25">
      <c r="A620" s="9" t="s">
        <v>8</v>
      </c>
      <c r="B620" s="27">
        <v>37126</v>
      </c>
      <c r="C620" s="28" t="s">
        <v>1938</v>
      </c>
      <c r="D620" s="28" t="s">
        <v>1720</v>
      </c>
      <c r="E620" s="25">
        <v>61.716700000000003</v>
      </c>
      <c r="F620" s="25">
        <v>17.5167</v>
      </c>
      <c r="H620" s="9" t="s">
        <v>150</v>
      </c>
      <c r="I620" s="6" t="s">
        <v>8</v>
      </c>
      <c r="J620" s="21" t="s">
        <v>8</v>
      </c>
      <c r="K620" s="6" t="s">
        <v>2455</v>
      </c>
      <c r="L620" s="7" t="s">
        <v>2027</v>
      </c>
      <c r="M620" s="28" t="s">
        <v>717</v>
      </c>
      <c r="N620" s="19" t="s">
        <v>1819</v>
      </c>
      <c r="O620" s="22"/>
      <c r="T620" s="7"/>
      <c r="X620" s="19" t="s">
        <v>160</v>
      </c>
      <c r="BA620" s="7"/>
      <c r="BB620" s="7"/>
      <c r="BC620" s="7"/>
      <c r="BD620" s="7"/>
      <c r="BE620" s="7"/>
    </row>
    <row r="621" spans="1:57" s="94" customFormat="1" x14ac:dyDescent="0.25">
      <c r="A621" s="32" t="s">
        <v>707</v>
      </c>
      <c r="B621" s="33"/>
      <c r="C621" s="33" t="s">
        <v>1439</v>
      </c>
      <c r="D621" s="33" t="s">
        <v>1440</v>
      </c>
      <c r="E621" s="35"/>
      <c r="F621" s="35"/>
      <c r="G621" s="33"/>
      <c r="H621" s="33" t="s">
        <v>150</v>
      </c>
      <c r="I621" s="21" t="s">
        <v>8</v>
      </c>
      <c r="J621" s="32" t="s">
        <v>8</v>
      </c>
      <c r="K621" s="35" t="s">
        <v>5</v>
      </c>
      <c r="L621" s="35" t="s">
        <v>2043</v>
      </c>
      <c r="M621" s="33" t="s">
        <v>2653</v>
      </c>
      <c r="N621" s="37" t="s">
        <v>2499</v>
      </c>
      <c r="O621" s="67"/>
      <c r="P621" s="37" t="s">
        <v>160</v>
      </c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  <c r="AK621" s="37"/>
      <c r="AL621" s="37"/>
      <c r="AM621" s="37"/>
      <c r="AN621" s="37"/>
      <c r="AO621" s="37"/>
      <c r="AP621" s="37"/>
      <c r="AQ621" s="37"/>
      <c r="AR621" s="37" t="s">
        <v>160</v>
      </c>
      <c r="AS621" s="37" t="s">
        <v>160</v>
      </c>
      <c r="AT621" s="37"/>
      <c r="AU621" s="37"/>
      <c r="AV621" s="37"/>
      <c r="AW621" s="37"/>
      <c r="AX621" s="37"/>
      <c r="AY621" s="37"/>
      <c r="AZ621" s="37"/>
      <c r="BA621" s="37"/>
      <c r="BB621" s="37"/>
      <c r="BC621" s="37"/>
      <c r="BD621" s="37"/>
      <c r="BE621" s="37"/>
    </row>
    <row r="622" spans="1:57" x14ac:dyDescent="0.25">
      <c r="A622" s="114" t="s">
        <v>2773</v>
      </c>
      <c r="B622" s="94" t="s">
        <v>2857</v>
      </c>
      <c r="C622" s="94" t="s">
        <v>1439</v>
      </c>
      <c r="D622" s="153" t="s">
        <v>1440</v>
      </c>
      <c r="E622" s="93">
        <f>61+42/60+9.72/3600</f>
        <v>61.7027</v>
      </c>
      <c r="F622" s="82">
        <v>17.521599999999999</v>
      </c>
      <c r="G622" s="94">
        <v>8.5679999999999996</v>
      </c>
      <c r="H622" s="94" t="s">
        <v>150</v>
      </c>
      <c r="I622" s="122" t="s">
        <v>8</v>
      </c>
      <c r="J622" s="122" t="s">
        <v>8</v>
      </c>
      <c r="K622" s="82" t="s">
        <v>5</v>
      </c>
      <c r="L622" s="93" t="s">
        <v>2680</v>
      </c>
      <c r="M622" s="105" t="s">
        <v>2653</v>
      </c>
      <c r="N622" s="108" t="s">
        <v>2499</v>
      </c>
      <c r="O622" s="104"/>
      <c r="P622" s="108" t="s">
        <v>160</v>
      </c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  <c r="AA622" s="108"/>
      <c r="AB622" s="108"/>
      <c r="AC622" s="108"/>
      <c r="AD622" s="108"/>
      <c r="AE622" s="108"/>
      <c r="AF622" s="108"/>
      <c r="AG622" s="108"/>
      <c r="AH622" s="108"/>
      <c r="AI622" s="108"/>
      <c r="AJ622" s="108"/>
      <c r="AK622" s="108"/>
      <c r="AL622" s="108"/>
      <c r="AM622" s="108"/>
      <c r="AN622" s="108"/>
      <c r="AO622" s="108"/>
      <c r="AP622" s="108"/>
      <c r="AQ622" s="108"/>
      <c r="AR622" s="108" t="s">
        <v>160</v>
      </c>
      <c r="AS622" s="108" t="s">
        <v>160</v>
      </c>
      <c r="AT622" s="108" t="s">
        <v>160</v>
      </c>
      <c r="AU622" s="108" t="s">
        <v>160</v>
      </c>
      <c r="AV622" s="108" t="s">
        <v>160</v>
      </c>
      <c r="AW622" s="108" t="s">
        <v>160</v>
      </c>
      <c r="AX622" s="108" t="s">
        <v>160</v>
      </c>
      <c r="AY622" s="108" t="s">
        <v>160</v>
      </c>
      <c r="AZ622" s="108" t="s">
        <v>160</v>
      </c>
      <c r="BA622" s="108" t="s">
        <v>160</v>
      </c>
      <c r="BB622" s="108"/>
      <c r="BC622" s="108"/>
      <c r="BD622" s="108"/>
      <c r="BE622" s="108"/>
    </row>
    <row r="623" spans="1:57" s="33" customFormat="1" x14ac:dyDescent="0.25">
      <c r="A623" s="6" t="s">
        <v>8</v>
      </c>
      <c r="B623" s="9">
        <v>117430</v>
      </c>
      <c r="C623" s="9" t="s">
        <v>1439</v>
      </c>
      <c r="D623" s="9" t="s">
        <v>1440</v>
      </c>
      <c r="E623" s="5">
        <f>61+42/60+9.72/3600</f>
        <v>61.7027</v>
      </c>
      <c r="F623" s="3">
        <v>17.521599999999999</v>
      </c>
      <c r="G623" s="9">
        <v>8.5679999999999996</v>
      </c>
      <c r="H623" s="9" t="s">
        <v>150</v>
      </c>
      <c r="I623" s="21" t="s">
        <v>8</v>
      </c>
      <c r="J623" s="21" t="s">
        <v>8</v>
      </c>
      <c r="K623" s="3" t="s">
        <v>5</v>
      </c>
      <c r="L623" s="5" t="s">
        <v>2680</v>
      </c>
      <c r="M623" s="7" t="s">
        <v>2653</v>
      </c>
      <c r="N623" s="19" t="s">
        <v>2499</v>
      </c>
      <c r="O623" s="22"/>
      <c r="P623" s="19" t="s">
        <v>160</v>
      </c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 t="s">
        <v>160</v>
      </c>
      <c r="AS623" s="19" t="s">
        <v>160</v>
      </c>
      <c r="AT623" s="19" t="s">
        <v>160</v>
      </c>
      <c r="AU623" s="19" t="s">
        <v>160</v>
      </c>
      <c r="AV623" s="19" t="s">
        <v>160</v>
      </c>
      <c r="AW623" s="19" t="s">
        <v>160</v>
      </c>
      <c r="AX623" s="19" t="s">
        <v>160</v>
      </c>
      <c r="AY623" s="19" t="s">
        <v>160</v>
      </c>
      <c r="AZ623" s="19" t="s">
        <v>160</v>
      </c>
      <c r="BA623" s="19" t="s">
        <v>160</v>
      </c>
      <c r="BB623" s="19"/>
      <c r="BC623" s="19"/>
      <c r="BD623" s="19"/>
      <c r="BE623" s="19"/>
    </row>
    <row r="624" spans="1:57" x14ac:dyDescent="0.25">
      <c r="A624" s="6" t="s">
        <v>706</v>
      </c>
      <c r="B624" s="9">
        <v>217</v>
      </c>
      <c r="C624" s="9" t="s">
        <v>1439</v>
      </c>
      <c r="D624" s="62" t="s">
        <v>2665</v>
      </c>
      <c r="E624" s="3">
        <f>61+42/60+10/3600</f>
        <v>61.702777777777783</v>
      </c>
      <c r="F624" s="3">
        <f>17+31/60+38/3600</f>
        <v>17.527222222222221</v>
      </c>
      <c r="G624" s="9"/>
      <c r="H624" s="9" t="s">
        <v>150</v>
      </c>
      <c r="I624" s="21" t="s">
        <v>8</v>
      </c>
      <c r="J624" s="21" t="s">
        <v>8</v>
      </c>
      <c r="K624" s="3" t="s">
        <v>5</v>
      </c>
      <c r="L624" s="5" t="s">
        <v>2043</v>
      </c>
      <c r="M624" s="7" t="s">
        <v>2653</v>
      </c>
      <c r="N624" s="19" t="s">
        <v>2499</v>
      </c>
      <c r="O624" s="22"/>
      <c r="P624" s="19" t="s">
        <v>160</v>
      </c>
      <c r="AR624" s="19" t="s">
        <v>160</v>
      </c>
      <c r="AS624" s="19" t="s">
        <v>160</v>
      </c>
      <c r="BB624" s="19"/>
      <c r="BC624" s="19"/>
      <c r="BD624" s="19"/>
      <c r="BE624" s="19"/>
    </row>
    <row r="625" spans="1:57" x14ac:dyDescent="0.25">
      <c r="A625" s="9" t="s">
        <v>8</v>
      </c>
      <c r="B625" s="27">
        <v>37302</v>
      </c>
      <c r="C625" s="28" t="s">
        <v>1939</v>
      </c>
      <c r="D625" s="28" t="s">
        <v>1441</v>
      </c>
      <c r="E625" s="25">
        <v>56.3</v>
      </c>
      <c r="F625" s="25">
        <v>12.45</v>
      </c>
      <c r="H625" s="9" t="s">
        <v>150</v>
      </c>
      <c r="I625" s="6" t="s">
        <v>8</v>
      </c>
      <c r="J625" s="21" t="s">
        <v>8</v>
      </c>
      <c r="K625" s="6" t="s">
        <v>2455</v>
      </c>
      <c r="L625" s="7" t="s">
        <v>2027</v>
      </c>
      <c r="M625" s="28" t="s">
        <v>717</v>
      </c>
      <c r="N625" s="19" t="s">
        <v>1855</v>
      </c>
      <c r="O625" s="22"/>
      <c r="T625" s="7"/>
      <c r="X625" s="19" t="s">
        <v>160</v>
      </c>
      <c r="BA625" s="7"/>
      <c r="BB625" s="7"/>
      <c r="BC625" s="7"/>
      <c r="BD625" s="7"/>
      <c r="BE625" s="7"/>
    </row>
    <row r="626" spans="1:57" x14ac:dyDescent="0.25">
      <c r="A626" s="6" t="s">
        <v>8</v>
      </c>
      <c r="B626" s="9">
        <v>62190</v>
      </c>
      <c r="C626" s="9" t="s">
        <v>2363</v>
      </c>
      <c r="D626" s="9" t="s">
        <v>1441</v>
      </c>
      <c r="E626" s="3">
        <v>56.301200000000001</v>
      </c>
      <c r="F626" s="3">
        <v>12.454000000000001</v>
      </c>
      <c r="G626" s="9">
        <v>72</v>
      </c>
      <c r="H626" s="9" t="s">
        <v>150</v>
      </c>
      <c r="I626" s="6" t="s">
        <v>8</v>
      </c>
      <c r="J626" s="21" t="s">
        <v>8</v>
      </c>
      <c r="K626" s="3" t="s">
        <v>5</v>
      </c>
      <c r="L626" s="5" t="s">
        <v>2680</v>
      </c>
      <c r="M626" s="7" t="s">
        <v>717</v>
      </c>
      <c r="N626" s="19" t="s">
        <v>2500</v>
      </c>
      <c r="O626" s="22"/>
      <c r="P626" s="19" t="s">
        <v>160</v>
      </c>
      <c r="AR626" s="19" t="s">
        <v>160</v>
      </c>
      <c r="AT626" s="19" t="s">
        <v>160</v>
      </c>
      <c r="AV626" s="19" t="s">
        <v>160</v>
      </c>
      <c r="AX626" s="19" t="s">
        <v>160</v>
      </c>
      <c r="AZ626" s="19" t="s">
        <v>160</v>
      </c>
      <c r="BB626" s="19"/>
      <c r="BC626" s="19"/>
      <c r="BD626" s="19"/>
      <c r="BE626" s="19"/>
    </row>
    <row r="627" spans="1:57" x14ac:dyDescent="0.25">
      <c r="A627" s="9" t="s">
        <v>8</v>
      </c>
      <c r="B627" s="27">
        <v>37208</v>
      </c>
      <c r="C627" s="28" t="s">
        <v>1940</v>
      </c>
      <c r="D627" s="28" t="s">
        <v>1735</v>
      </c>
      <c r="E627" s="25">
        <v>57.7</v>
      </c>
      <c r="F627" s="25">
        <v>16.916699999999999</v>
      </c>
      <c r="H627" s="9" t="s">
        <v>150</v>
      </c>
      <c r="I627" s="6" t="s">
        <v>8</v>
      </c>
      <c r="J627" s="21" t="s">
        <v>8</v>
      </c>
      <c r="K627" s="6" t="s">
        <v>2455</v>
      </c>
      <c r="L627" s="7" t="s">
        <v>2027</v>
      </c>
      <c r="M627" s="28" t="s">
        <v>717</v>
      </c>
      <c r="N627" s="19" t="s">
        <v>1835</v>
      </c>
      <c r="O627" s="22"/>
      <c r="T627" s="7"/>
      <c r="X627" s="19" t="s">
        <v>160</v>
      </c>
      <c r="BA627" s="7"/>
      <c r="BB627" s="7"/>
      <c r="BC627" s="7"/>
      <c r="BD627" s="7"/>
      <c r="BE627" s="7"/>
    </row>
    <row r="628" spans="1:57" x14ac:dyDescent="0.25">
      <c r="A628" s="9" t="s">
        <v>707</v>
      </c>
      <c r="B628" s="137" t="s">
        <v>379</v>
      </c>
      <c r="C628" s="23" t="s">
        <v>762</v>
      </c>
      <c r="D628" s="40" t="s">
        <v>380</v>
      </c>
      <c r="E628" s="46" t="s">
        <v>2232</v>
      </c>
      <c r="F628" s="46" t="s">
        <v>2233</v>
      </c>
      <c r="G628" s="40"/>
      <c r="H628" s="9" t="s">
        <v>150</v>
      </c>
      <c r="I628" s="41" t="s">
        <v>8</v>
      </c>
      <c r="J628" s="41" t="s">
        <v>8</v>
      </c>
      <c r="K628" s="40" t="s">
        <v>6</v>
      </c>
      <c r="L628" s="41" t="s">
        <v>2031</v>
      </c>
      <c r="M628" s="7" t="s">
        <v>2653</v>
      </c>
      <c r="N628" s="42" t="s">
        <v>1105</v>
      </c>
      <c r="O628" s="22"/>
      <c r="P628" s="42" t="s">
        <v>160</v>
      </c>
      <c r="Q628" s="44" t="s">
        <v>1171</v>
      </c>
      <c r="R628" s="44" t="s">
        <v>1596</v>
      </c>
      <c r="S628" s="19" t="s">
        <v>160</v>
      </c>
      <c r="T628" s="19" t="s">
        <v>160</v>
      </c>
      <c r="U628" s="19">
        <v>1</v>
      </c>
      <c r="V628" s="42" t="s">
        <v>160</v>
      </c>
      <c r="W628" s="42" t="s">
        <v>160</v>
      </c>
      <c r="X628" s="42" t="s">
        <v>160</v>
      </c>
      <c r="Y628" s="42" t="s">
        <v>160</v>
      </c>
      <c r="Z628" s="42"/>
      <c r="AA628" s="42"/>
      <c r="AB628" s="42"/>
      <c r="AC628" s="42"/>
      <c r="AD628" s="42"/>
      <c r="AE628" s="42"/>
      <c r="AF628" s="42"/>
      <c r="AG628" s="42"/>
      <c r="AH628" s="42"/>
      <c r="AI628" s="42"/>
      <c r="AJ628" s="42"/>
      <c r="AK628" s="42"/>
      <c r="AL628" s="42"/>
      <c r="AM628" s="42"/>
      <c r="AN628" s="42"/>
      <c r="AO628" s="42"/>
      <c r="AP628" s="42"/>
      <c r="AQ628" s="42"/>
      <c r="AR628" s="42"/>
      <c r="AS628" s="42"/>
      <c r="AZ628" s="42"/>
      <c r="BA628" s="42"/>
      <c r="BB628" s="42"/>
      <c r="BC628" s="42"/>
      <c r="BD628" s="42"/>
      <c r="BE628" s="42"/>
    </row>
    <row r="629" spans="1:57" x14ac:dyDescent="0.25">
      <c r="A629" s="53" t="s">
        <v>2763</v>
      </c>
      <c r="B629" s="138">
        <v>2088</v>
      </c>
      <c r="C629" s="53" t="s">
        <v>762</v>
      </c>
      <c r="D629" s="53" t="s">
        <v>762</v>
      </c>
      <c r="E629" s="35">
        <v>56.105277999999998</v>
      </c>
      <c r="F629" s="35">
        <v>15.589444</v>
      </c>
      <c r="G629" s="53"/>
      <c r="H629" s="9" t="s">
        <v>150</v>
      </c>
      <c r="I629" s="7" t="s">
        <v>8</v>
      </c>
      <c r="J629" s="53" t="s">
        <v>8</v>
      </c>
      <c r="K629" s="7" t="s">
        <v>6</v>
      </c>
      <c r="L629" s="7" t="s">
        <v>2031</v>
      </c>
      <c r="M629" s="7" t="s">
        <v>2653</v>
      </c>
      <c r="N629" s="42" t="s">
        <v>1105</v>
      </c>
      <c r="O629" s="22"/>
      <c r="P629" s="42" t="s">
        <v>160</v>
      </c>
      <c r="Q629" s="44" t="s">
        <v>1171</v>
      </c>
      <c r="R629" s="44" t="s">
        <v>1596</v>
      </c>
      <c r="S629" s="19" t="s">
        <v>160</v>
      </c>
      <c r="T629" s="19" t="s">
        <v>160</v>
      </c>
      <c r="U629" s="42">
        <v>1</v>
      </c>
      <c r="V629" s="20" t="s">
        <v>160</v>
      </c>
      <c r="W629" s="20" t="s">
        <v>160</v>
      </c>
      <c r="X629" s="20" t="s">
        <v>160</v>
      </c>
      <c r="Y629" s="20" t="s">
        <v>160</v>
      </c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94" customFormat="1" x14ac:dyDescent="0.25">
      <c r="A630" s="105" t="s">
        <v>2773</v>
      </c>
      <c r="B630" s="139" t="s">
        <v>2799</v>
      </c>
      <c r="C630" s="110" t="s">
        <v>762</v>
      </c>
      <c r="D630" s="153" t="s">
        <v>762</v>
      </c>
      <c r="E630" s="81">
        <f>56+6/60+18.7/3600</f>
        <v>56.105194444444443</v>
      </c>
      <c r="F630" s="81">
        <f>15+35/60+21.4/3600</f>
        <v>15.589277777777779</v>
      </c>
      <c r="G630" s="81"/>
      <c r="H630" s="105" t="s">
        <v>150</v>
      </c>
      <c r="I630" s="105" t="s">
        <v>8</v>
      </c>
      <c r="J630" s="105" t="s">
        <v>8</v>
      </c>
      <c r="K630" s="105" t="s">
        <v>6</v>
      </c>
      <c r="L630" s="105" t="s">
        <v>2031</v>
      </c>
      <c r="M630" s="105" t="s">
        <v>2653</v>
      </c>
      <c r="N630" s="106" t="s">
        <v>1105</v>
      </c>
      <c r="O630" s="104"/>
      <c r="P630" s="106" t="s">
        <v>160</v>
      </c>
      <c r="Q630" s="107" t="s">
        <v>1171</v>
      </c>
      <c r="R630" s="107" t="s">
        <v>1596</v>
      </c>
      <c r="S630" s="108" t="s">
        <v>160</v>
      </c>
      <c r="T630" s="108" t="s">
        <v>160</v>
      </c>
      <c r="U630" s="106">
        <v>1</v>
      </c>
      <c r="V630" s="103" t="s">
        <v>160</v>
      </c>
      <c r="W630" s="103" t="s">
        <v>160</v>
      </c>
      <c r="X630" s="103" t="s">
        <v>160</v>
      </c>
      <c r="Y630" s="103" t="s">
        <v>160</v>
      </c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  <c r="BD630" s="103"/>
      <c r="BE630" s="103"/>
    </row>
    <row r="631" spans="1:57" x14ac:dyDescent="0.25">
      <c r="A631" s="7" t="s">
        <v>8</v>
      </c>
      <c r="B631" s="142" t="s">
        <v>2903</v>
      </c>
      <c r="C631" s="23" t="s">
        <v>762</v>
      </c>
      <c r="D631" t="s">
        <v>762</v>
      </c>
      <c r="E631" s="193">
        <v>56.105200000000004</v>
      </c>
      <c r="F631" s="193">
        <v>15.5893</v>
      </c>
      <c r="G631" s="43"/>
      <c r="H631" s="7" t="s">
        <v>150</v>
      </c>
      <c r="I631" s="7" t="s">
        <v>8</v>
      </c>
      <c r="J631" s="7" t="s">
        <v>8</v>
      </c>
      <c r="K631" s="7" t="s">
        <v>6</v>
      </c>
      <c r="L631" s="7" t="s">
        <v>2031</v>
      </c>
      <c r="M631" s="7" t="s">
        <v>2653</v>
      </c>
      <c r="N631" s="42" t="s">
        <v>1105</v>
      </c>
      <c r="O631" s="22"/>
      <c r="P631" s="42" t="s">
        <v>160</v>
      </c>
      <c r="Q631" s="44" t="s">
        <v>1171</v>
      </c>
      <c r="R631" s="44" t="s">
        <v>1596</v>
      </c>
      <c r="S631" s="19" t="s">
        <v>160</v>
      </c>
      <c r="T631" s="19" t="s">
        <v>160</v>
      </c>
      <c r="U631" s="42">
        <v>1</v>
      </c>
      <c r="V631" s="20" t="s">
        <v>160</v>
      </c>
      <c r="W631" s="20" t="s">
        <v>160</v>
      </c>
      <c r="X631" s="20" t="s">
        <v>160</v>
      </c>
      <c r="Y631" s="20" t="s">
        <v>160</v>
      </c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</row>
    <row r="632" spans="1:57" x14ac:dyDescent="0.25">
      <c r="A632" s="9" t="s">
        <v>706</v>
      </c>
      <c r="B632" s="140">
        <v>170</v>
      </c>
      <c r="C632" s="23" t="s">
        <v>762</v>
      </c>
      <c r="D632" s="62" t="s">
        <v>55</v>
      </c>
      <c r="E632" s="5">
        <f>56+6/60+19/3600</f>
        <v>56.105277777777779</v>
      </c>
      <c r="F632" s="5">
        <f>15+35/60+22/3600</f>
        <v>15.589444444444444</v>
      </c>
      <c r="G632" s="43"/>
      <c r="H632" s="9" t="s">
        <v>150</v>
      </c>
      <c r="I632" s="7" t="s">
        <v>8</v>
      </c>
      <c r="J632" s="7" t="s">
        <v>8</v>
      </c>
      <c r="K632" s="9" t="s">
        <v>6</v>
      </c>
      <c r="L632" s="7" t="s">
        <v>2031</v>
      </c>
      <c r="M632" s="7" t="s">
        <v>2653</v>
      </c>
      <c r="N632" s="42" t="s">
        <v>1105</v>
      </c>
      <c r="O632" s="22"/>
      <c r="P632" s="42" t="s">
        <v>160</v>
      </c>
      <c r="Q632" s="44" t="s">
        <v>1171</v>
      </c>
      <c r="R632" s="44" t="s">
        <v>1596</v>
      </c>
      <c r="S632" s="19" t="s">
        <v>160</v>
      </c>
      <c r="T632" s="19" t="s">
        <v>160</v>
      </c>
      <c r="U632" s="19">
        <v>1</v>
      </c>
      <c r="V632" s="19" t="s">
        <v>160</v>
      </c>
      <c r="W632" s="19" t="s">
        <v>160</v>
      </c>
      <c r="X632" s="19" t="s">
        <v>160</v>
      </c>
      <c r="Y632" s="19" t="s">
        <v>160</v>
      </c>
      <c r="BB632" s="19"/>
      <c r="BC632" s="19"/>
      <c r="BD632" s="19"/>
      <c r="BE632" s="19"/>
    </row>
    <row r="633" spans="1:57" x14ac:dyDescent="0.25">
      <c r="A633" s="9" t="s">
        <v>707</v>
      </c>
      <c r="B633" s="137" t="s">
        <v>381</v>
      </c>
      <c r="C633" s="23" t="s">
        <v>732</v>
      </c>
      <c r="D633" s="40" t="s">
        <v>382</v>
      </c>
      <c r="E633" s="46" t="s">
        <v>2231</v>
      </c>
      <c r="F633" s="46" t="s">
        <v>2230</v>
      </c>
      <c r="G633" s="40"/>
      <c r="H633" s="9" t="s">
        <v>150</v>
      </c>
      <c r="I633" s="41" t="s">
        <v>8</v>
      </c>
      <c r="J633" s="41" t="s">
        <v>8</v>
      </c>
      <c r="K633" s="40" t="s">
        <v>6</v>
      </c>
      <c r="L633" s="41" t="s">
        <v>2030</v>
      </c>
      <c r="M633" s="7" t="s">
        <v>2653</v>
      </c>
      <c r="N633" s="42" t="s">
        <v>1131</v>
      </c>
      <c r="O633" s="22"/>
      <c r="P633" s="42" t="s">
        <v>160</v>
      </c>
      <c r="Q633" s="44" t="s">
        <v>1172</v>
      </c>
      <c r="R633" s="44" t="s">
        <v>1597</v>
      </c>
      <c r="S633" s="19" t="s">
        <v>160</v>
      </c>
      <c r="T633" s="19" t="s">
        <v>160</v>
      </c>
      <c r="U633" s="19">
        <v>1</v>
      </c>
      <c r="V633" s="42" t="s">
        <v>160</v>
      </c>
      <c r="W633" s="42" t="s">
        <v>160</v>
      </c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  <c r="AJ633" s="42"/>
      <c r="AK633" s="42"/>
      <c r="AL633" s="42"/>
      <c r="AM633" s="42"/>
      <c r="AN633" s="42"/>
      <c r="AO633" s="42"/>
      <c r="AP633" s="42"/>
      <c r="AQ633" s="42"/>
      <c r="AR633" s="42"/>
      <c r="AS633" s="42"/>
      <c r="AZ633" s="42"/>
      <c r="BA633" s="42"/>
      <c r="BB633" s="42"/>
      <c r="BC633" s="42"/>
      <c r="BD633" s="42"/>
      <c r="BE633" s="42"/>
    </row>
    <row r="634" spans="1:57" x14ac:dyDescent="0.25">
      <c r="A634" s="53" t="s">
        <v>2763</v>
      </c>
      <c r="B634" s="138">
        <v>2130</v>
      </c>
      <c r="C634" s="53" t="s">
        <v>732</v>
      </c>
      <c r="D634" s="53" t="s">
        <v>732</v>
      </c>
      <c r="E634" s="35">
        <v>58.996667000000002</v>
      </c>
      <c r="F634" s="35">
        <v>11.127222</v>
      </c>
      <c r="G634" s="53"/>
      <c r="H634" s="9" t="s">
        <v>150</v>
      </c>
      <c r="I634" s="7" t="s">
        <v>8</v>
      </c>
      <c r="J634" s="53" t="s">
        <v>8</v>
      </c>
      <c r="K634" s="7" t="s">
        <v>6</v>
      </c>
      <c r="L634" s="7" t="s">
        <v>2030</v>
      </c>
      <c r="M634" s="7" t="s">
        <v>2653</v>
      </c>
      <c r="N634" s="42" t="s">
        <v>1131</v>
      </c>
      <c r="O634" s="22"/>
      <c r="P634" s="42" t="s">
        <v>160</v>
      </c>
      <c r="Q634" s="44" t="s">
        <v>1172</v>
      </c>
      <c r="R634" s="44" t="s">
        <v>1597</v>
      </c>
      <c r="S634" s="19" t="s">
        <v>160</v>
      </c>
      <c r="T634" s="19" t="s">
        <v>160</v>
      </c>
      <c r="U634" s="42">
        <v>1</v>
      </c>
      <c r="V634" s="20" t="s">
        <v>160</v>
      </c>
      <c r="W634" s="20" t="s">
        <v>160</v>
      </c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94" customFormat="1" x14ac:dyDescent="0.25">
      <c r="A635" s="94" t="s">
        <v>2773</v>
      </c>
      <c r="B635" s="139" t="s">
        <v>2800</v>
      </c>
      <c r="C635" s="110" t="s">
        <v>732</v>
      </c>
      <c r="D635" s="153" t="s">
        <v>732</v>
      </c>
      <c r="E635" s="82">
        <f>58+59/60+47.7/3600</f>
        <v>58.996583333333334</v>
      </c>
      <c r="F635" s="82">
        <f>11+7/60+38.1/3600</f>
        <v>11.12725</v>
      </c>
      <c r="G635" s="81"/>
      <c r="H635" s="105" t="s">
        <v>150</v>
      </c>
      <c r="I635" s="105" t="s">
        <v>8</v>
      </c>
      <c r="J635" s="105" t="s">
        <v>8</v>
      </c>
      <c r="K635" s="105" t="s">
        <v>6</v>
      </c>
      <c r="L635" s="105" t="s">
        <v>2030</v>
      </c>
      <c r="M635" s="105" t="s">
        <v>2653</v>
      </c>
      <c r="N635" s="106" t="s">
        <v>1131</v>
      </c>
      <c r="O635" s="104"/>
      <c r="P635" s="106" t="s">
        <v>160</v>
      </c>
      <c r="Q635" s="107" t="s">
        <v>1172</v>
      </c>
      <c r="R635" s="107" t="s">
        <v>1597</v>
      </c>
      <c r="S635" s="108" t="s">
        <v>160</v>
      </c>
      <c r="T635" s="108" t="s">
        <v>160</v>
      </c>
      <c r="U635" s="106">
        <v>1</v>
      </c>
      <c r="V635" s="103" t="s">
        <v>160</v>
      </c>
      <c r="W635" s="103" t="s">
        <v>160</v>
      </c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  <c r="BD635" s="103"/>
      <c r="BE635" s="103"/>
    </row>
    <row r="636" spans="1:57" x14ac:dyDescent="0.25">
      <c r="A636" s="9" t="s">
        <v>8</v>
      </c>
      <c r="B636" s="142" t="s">
        <v>2904</v>
      </c>
      <c r="C636" s="23" t="s">
        <v>732</v>
      </c>
      <c r="D636" t="s">
        <v>732</v>
      </c>
      <c r="E636" s="193">
        <v>58.996600000000001</v>
      </c>
      <c r="F636" s="193">
        <v>11.1274</v>
      </c>
      <c r="G636" s="43"/>
      <c r="H636" s="7" t="s">
        <v>150</v>
      </c>
      <c r="I636" s="7" t="s">
        <v>8</v>
      </c>
      <c r="J636" s="7" t="s">
        <v>8</v>
      </c>
      <c r="K636" s="7" t="s">
        <v>6</v>
      </c>
      <c r="L636" s="7" t="s">
        <v>2030</v>
      </c>
      <c r="M636" s="7" t="s">
        <v>2653</v>
      </c>
      <c r="N636" s="42" t="s">
        <v>1131</v>
      </c>
      <c r="O636" s="22"/>
      <c r="P636" s="42" t="s">
        <v>160</v>
      </c>
      <c r="Q636" s="44" t="s">
        <v>1172</v>
      </c>
      <c r="R636" s="44" t="s">
        <v>1597</v>
      </c>
      <c r="S636" s="19" t="s">
        <v>160</v>
      </c>
      <c r="T636" s="19" t="s">
        <v>160</v>
      </c>
      <c r="U636" s="42">
        <v>1</v>
      </c>
      <c r="V636" s="20" t="s">
        <v>160</v>
      </c>
      <c r="W636" s="20" t="s">
        <v>160</v>
      </c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</row>
    <row r="637" spans="1:57" x14ac:dyDescent="0.25">
      <c r="A637" s="9" t="s">
        <v>706</v>
      </c>
      <c r="B637" s="140">
        <v>155</v>
      </c>
      <c r="C637" s="23" t="s">
        <v>732</v>
      </c>
      <c r="D637" s="62" t="s">
        <v>56</v>
      </c>
      <c r="E637" s="5">
        <f>58+59/60+48/3600</f>
        <v>58.99666666666667</v>
      </c>
      <c r="F637" s="5">
        <f>11+7/60+38/3600</f>
        <v>11.127222222222223</v>
      </c>
      <c r="G637" s="43"/>
      <c r="H637" s="9" t="s">
        <v>150</v>
      </c>
      <c r="I637" s="7" t="s">
        <v>8</v>
      </c>
      <c r="J637" s="7" t="s">
        <v>8</v>
      </c>
      <c r="K637" s="9" t="s">
        <v>6</v>
      </c>
      <c r="L637" s="7" t="s">
        <v>2030</v>
      </c>
      <c r="M637" s="7" t="s">
        <v>2653</v>
      </c>
      <c r="N637" s="42" t="s">
        <v>1131</v>
      </c>
      <c r="O637" s="22"/>
      <c r="P637" s="42" t="s">
        <v>160</v>
      </c>
      <c r="Q637" s="44" t="s">
        <v>1172</v>
      </c>
      <c r="R637" s="44" t="s">
        <v>1597</v>
      </c>
      <c r="S637" s="19" t="s">
        <v>160</v>
      </c>
      <c r="T637" s="19" t="s">
        <v>160</v>
      </c>
      <c r="U637" s="19">
        <v>1</v>
      </c>
      <c r="V637" s="19" t="s">
        <v>160</v>
      </c>
      <c r="W637" s="19" t="s">
        <v>160</v>
      </c>
      <c r="BB637" s="19"/>
      <c r="BC637" s="19"/>
      <c r="BD637" s="19"/>
      <c r="BE637" s="19"/>
    </row>
    <row r="638" spans="1:57" x14ac:dyDescent="0.25">
      <c r="A638" s="9" t="s">
        <v>707</v>
      </c>
      <c r="B638" s="39" t="s">
        <v>383</v>
      </c>
      <c r="C638" s="39" t="s">
        <v>906</v>
      </c>
      <c r="D638" s="40" t="s">
        <v>384</v>
      </c>
      <c r="E638" s="46" t="s">
        <v>386</v>
      </c>
      <c r="F638" s="46" t="s">
        <v>385</v>
      </c>
      <c r="G638" s="40"/>
      <c r="H638" s="9" t="s">
        <v>151</v>
      </c>
      <c r="I638" s="41" t="s">
        <v>169</v>
      </c>
      <c r="J638" s="41" t="s">
        <v>169</v>
      </c>
      <c r="K638" s="40" t="s">
        <v>5</v>
      </c>
      <c r="L638" s="41" t="s">
        <v>2041</v>
      </c>
      <c r="M638" s="7" t="s">
        <v>2653</v>
      </c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2"/>
      <c r="AJ638" s="42"/>
      <c r="AK638" s="42"/>
      <c r="AL638" s="42"/>
      <c r="AM638" s="42"/>
      <c r="AN638" s="42"/>
      <c r="AO638" s="42"/>
      <c r="AP638" s="42"/>
      <c r="AQ638" s="42"/>
      <c r="AR638" s="42"/>
      <c r="AS638" s="42"/>
      <c r="AZ638" s="42" t="s">
        <v>160</v>
      </c>
      <c r="BA638" s="42" t="s">
        <v>160</v>
      </c>
      <c r="BB638" s="42"/>
      <c r="BC638" s="42"/>
      <c r="BD638" s="42"/>
      <c r="BE638" s="42"/>
    </row>
    <row r="639" spans="1:57" x14ac:dyDescent="0.25">
      <c r="A639" s="33" t="s">
        <v>8</v>
      </c>
      <c r="B639" s="58"/>
      <c r="C639" s="34" t="s">
        <v>906</v>
      </c>
      <c r="D639" s="51" t="s">
        <v>906</v>
      </c>
      <c r="E639" s="57"/>
      <c r="F639" s="57"/>
      <c r="G639" s="51"/>
      <c r="H639" s="33" t="s">
        <v>151</v>
      </c>
      <c r="I639" s="41" t="s">
        <v>169</v>
      </c>
      <c r="J639" s="51" t="s">
        <v>169</v>
      </c>
      <c r="K639" s="51" t="s">
        <v>5</v>
      </c>
      <c r="L639" s="51" t="s">
        <v>2041</v>
      </c>
      <c r="M639" s="33" t="s">
        <v>2653</v>
      </c>
      <c r="N639" s="59"/>
      <c r="O639" s="67"/>
      <c r="P639" s="59"/>
      <c r="Q639" s="60"/>
      <c r="R639" s="60"/>
      <c r="S639" s="37"/>
      <c r="T639" s="37"/>
      <c r="U639" s="37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9"/>
      <c r="AM639" s="59"/>
      <c r="AN639" s="59"/>
      <c r="AO639" s="59"/>
      <c r="AP639" s="59"/>
      <c r="AQ639" s="59"/>
      <c r="AR639" s="59"/>
      <c r="AS639" s="59"/>
      <c r="AT639" s="37"/>
      <c r="AU639" s="37"/>
      <c r="AV639" s="37"/>
      <c r="AW639" s="37"/>
      <c r="AX639" s="37"/>
      <c r="AY639" s="37"/>
      <c r="AZ639" s="59" t="s">
        <v>160</v>
      </c>
      <c r="BA639" s="59" t="s">
        <v>160</v>
      </c>
      <c r="BB639" s="59"/>
      <c r="BC639" s="59"/>
      <c r="BD639" s="59"/>
      <c r="BE639" s="59"/>
    </row>
    <row r="640" spans="1:57" x14ac:dyDescent="0.25">
      <c r="A640" s="9" t="s">
        <v>706</v>
      </c>
      <c r="B640" s="38">
        <v>125</v>
      </c>
      <c r="C640" s="38" t="s">
        <v>906</v>
      </c>
      <c r="D640" s="62" t="s">
        <v>57</v>
      </c>
      <c r="E640" s="3">
        <v>59.452522000000002</v>
      </c>
      <c r="F640" s="3">
        <v>16.320582999999999</v>
      </c>
      <c r="H640" s="9" t="s">
        <v>151</v>
      </c>
      <c r="I640" s="7" t="s">
        <v>169</v>
      </c>
      <c r="J640" s="7" t="s">
        <v>169</v>
      </c>
      <c r="K640" s="9" t="s">
        <v>5</v>
      </c>
      <c r="L640" s="7" t="s">
        <v>2041</v>
      </c>
      <c r="M640" s="7" t="s">
        <v>2653</v>
      </c>
      <c r="AZ640" s="19" t="s">
        <v>160</v>
      </c>
      <c r="BA640" s="19" t="s">
        <v>160</v>
      </c>
      <c r="BB640" s="19"/>
      <c r="BC640" s="19"/>
      <c r="BD640" s="19"/>
      <c r="BE640" s="19"/>
    </row>
    <row r="641" spans="1:57" x14ac:dyDescent="0.25">
      <c r="A641" s="9" t="s">
        <v>8</v>
      </c>
      <c r="B641" s="27">
        <v>37270</v>
      </c>
      <c r="C641" s="28" t="s">
        <v>1941</v>
      </c>
      <c r="D641" s="28" t="s">
        <v>1771</v>
      </c>
      <c r="E641" s="25">
        <v>54</v>
      </c>
      <c r="F641" s="25">
        <v>10.933299999999999</v>
      </c>
      <c r="H641" s="9" t="s">
        <v>150</v>
      </c>
      <c r="I641" s="10" t="s">
        <v>8</v>
      </c>
      <c r="J641" s="24" t="s">
        <v>8</v>
      </c>
      <c r="K641" s="6" t="s">
        <v>2455</v>
      </c>
      <c r="L641" s="7" t="s">
        <v>2027</v>
      </c>
      <c r="M641" s="28" t="s">
        <v>717</v>
      </c>
      <c r="N641" s="19" t="s">
        <v>1851</v>
      </c>
      <c r="O641" s="22"/>
      <c r="T641" s="7"/>
      <c r="X641" s="19" t="s">
        <v>160</v>
      </c>
      <c r="BA641" s="7"/>
      <c r="BB641" s="7"/>
      <c r="BC641" s="7"/>
      <c r="BD641" s="7"/>
      <c r="BE641" s="7"/>
    </row>
    <row r="642" spans="1:57" x14ac:dyDescent="0.25">
      <c r="A642" s="9" t="s">
        <v>8</v>
      </c>
      <c r="B642" s="27">
        <v>37269</v>
      </c>
      <c r="C642" s="28" t="s">
        <v>1942</v>
      </c>
      <c r="D642" s="28" t="s">
        <v>1770</v>
      </c>
      <c r="E642" s="25">
        <v>54.25</v>
      </c>
      <c r="F642" s="25">
        <v>11.416700000000001</v>
      </c>
      <c r="H642" s="9" t="s">
        <v>150</v>
      </c>
      <c r="I642" s="10" t="s">
        <v>8</v>
      </c>
      <c r="J642" s="24" t="s">
        <v>8</v>
      </c>
      <c r="K642" s="6" t="s">
        <v>2455</v>
      </c>
      <c r="L642" s="7" t="s">
        <v>2027</v>
      </c>
      <c r="M642" s="28" t="s">
        <v>717</v>
      </c>
      <c r="N642" s="19" t="s">
        <v>1851</v>
      </c>
      <c r="O642" s="22"/>
      <c r="T642" s="7"/>
      <c r="X642" s="19" t="s">
        <v>160</v>
      </c>
      <c r="BA642" s="7"/>
      <c r="BB642" s="7"/>
      <c r="BC642" s="7"/>
      <c r="BD642" s="7"/>
      <c r="BE642" s="7"/>
    </row>
    <row r="643" spans="1:57" x14ac:dyDescent="0.25">
      <c r="A643" s="9" t="s">
        <v>8</v>
      </c>
      <c r="B643" s="27">
        <v>37268</v>
      </c>
      <c r="C643" s="28" t="s">
        <v>1943</v>
      </c>
      <c r="D643" s="28" t="s">
        <v>1769</v>
      </c>
      <c r="E643" s="25">
        <v>54.5</v>
      </c>
      <c r="F643" s="25">
        <v>12.166700000000001</v>
      </c>
      <c r="H643" s="9" t="s">
        <v>150</v>
      </c>
      <c r="I643" s="10" t="s">
        <v>8</v>
      </c>
      <c r="J643" s="24" t="s">
        <v>8</v>
      </c>
      <c r="K643" s="6" t="s">
        <v>2455</v>
      </c>
      <c r="L643" s="7" t="s">
        <v>2027</v>
      </c>
      <c r="M643" s="28" t="s">
        <v>717</v>
      </c>
      <c r="N643" s="19" t="s">
        <v>1851</v>
      </c>
      <c r="O643" s="22"/>
      <c r="T643" s="7"/>
      <c r="X643" s="19" t="s">
        <v>160</v>
      </c>
      <c r="BA643" s="7"/>
      <c r="BB643" s="7"/>
      <c r="BC643" s="7"/>
      <c r="BD643" s="7"/>
      <c r="BE643" s="7"/>
    </row>
    <row r="644" spans="1:57" x14ac:dyDescent="0.25">
      <c r="A644" s="9" t="s">
        <v>8</v>
      </c>
      <c r="B644" s="27">
        <v>37267</v>
      </c>
      <c r="C644" s="28" t="s">
        <v>1944</v>
      </c>
      <c r="D644" s="28" t="s">
        <v>1768</v>
      </c>
      <c r="E644" s="25">
        <v>54.633299999999998</v>
      </c>
      <c r="F644" s="25">
        <v>12.3</v>
      </c>
      <c r="H644" s="9" t="s">
        <v>150</v>
      </c>
      <c r="I644" s="10" t="s">
        <v>8</v>
      </c>
      <c r="J644" s="24" t="s">
        <v>8</v>
      </c>
      <c r="K644" s="6" t="s">
        <v>2455</v>
      </c>
      <c r="L644" s="7" t="s">
        <v>2027</v>
      </c>
      <c r="M644" s="28" t="s">
        <v>717</v>
      </c>
      <c r="N644" s="19" t="s">
        <v>1850</v>
      </c>
      <c r="O644" s="22"/>
      <c r="T644" s="7"/>
      <c r="X644" s="19" t="s">
        <v>160</v>
      </c>
      <c r="BA644" s="7"/>
      <c r="BB644" s="7"/>
      <c r="BC644" s="7"/>
      <c r="BD644" s="7"/>
      <c r="BE644" s="7"/>
    </row>
    <row r="645" spans="1:57" x14ac:dyDescent="0.25">
      <c r="A645" s="9" t="s">
        <v>8</v>
      </c>
      <c r="B645" s="27">
        <v>37266</v>
      </c>
      <c r="C645" s="28" t="s">
        <v>1945</v>
      </c>
      <c r="D645" s="28" t="s">
        <v>1767</v>
      </c>
      <c r="E645" s="25">
        <v>54.95</v>
      </c>
      <c r="F645" s="25">
        <v>12.7</v>
      </c>
      <c r="H645" s="9" t="s">
        <v>150</v>
      </c>
      <c r="I645" s="10" t="s">
        <v>8</v>
      </c>
      <c r="J645" s="24" t="s">
        <v>8</v>
      </c>
      <c r="K645" s="6" t="s">
        <v>2455</v>
      </c>
      <c r="L645" s="7" t="s">
        <v>2027</v>
      </c>
      <c r="M645" s="28" t="s">
        <v>717</v>
      </c>
      <c r="N645" s="19" t="s">
        <v>1850</v>
      </c>
      <c r="O645" s="22"/>
      <c r="T645" s="7"/>
      <c r="X645" s="19" t="s">
        <v>160</v>
      </c>
      <c r="BA645" s="7"/>
      <c r="BB645" s="7"/>
      <c r="BC645" s="7"/>
      <c r="BD645" s="7"/>
      <c r="BE645" s="7"/>
    </row>
    <row r="646" spans="1:57" x14ac:dyDescent="0.25">
      <c r="A646" s="9" t="s">
        <v>8</v>
      </c>
      <c r="B646" s="27">
        <v>37265</v>
      </c>
      <c r="C646" s="28" t="s">
        <v>1766</v>
      </c>
      <c r="D646" s="28" t="s">
        <v>1766</v>
      </c>
      <c r="E646" s="25">
        <v>55.116700000000002</v>
      </c>
      <c r="F646" s="25">
        <v>12.9</v>
      </c>
      <c r="H646" s="9" t="s">
        <v>150</v>
      </c>
      <c r="I646" s="10" t="s">
        <v>8</v>
      </c>
      <c r="J646" s="24" t="s">
        <v>8</v>
      </c>
      <c r="K646" s="6" t="s">
        <v>2455</v>
      </c>
      <c r="L646" s="7" t="s">
        <v>2027</v>
      </c>
      <c r="M646" s="28" t="s">
        <v>717</v>
      </c>
      <c r="N646" s="19" t="s">
        <v>1850</v>
      </c>
      <c r="O646" s="22"/>
      <c r="T646" s="7"/>
      <c r="X646" s="19" t="s">
        <v>160</v>
      </c>
      <c r="BA646" s="7"/>
      <c r="BB646" s="7"/>
      <c r="BC646" s="7"/>
      <c r="BD646" s="7"/>
      <c r="BE646" s="7"/>
    </row>
    <row r="647" spans="1:57" x14ac:dyDescent="0.25">
      <c r="A647" s="9" t="s">
        <v>8</v>
      </c>
      <c r="B647" s="27">
        <v>37264</v>
      </c>
      <c r="C647" s="28" t="s">
        <v>1765</v>
      </c>
      <c r="D647" s="28" t="s">
        <v>1765</v>
      </c>
      <c r="E647" s="25">
        <v>55.283299999999997</v>
      </c>
      <c r="F647" s="25">
        <v>13.166700000000001</v>
      </c>
      <c r="H647" s="9" t="s">
        <v>150</v>
      </c>
      <c r="I647" s="10" t="s">
        <v>8</v>
      </c>
      <c r="J647" s="24" t="s">
        <v>8</v>
      </c>
      <c r="K647" s="6" t="s">
        <v>2455</v>
      </c>
      <c r="L647" s="7" t="s">
        <v>2027</v>
      </c>
      <c r="M647" s="28" t="s">
        <v>717</v>
      </c>
      <c r="N647" s="19" t="s">
        <v>1849</v>
      </c>
      <c r="O647" s="22"/>
      <c r="T647" s="7"/>
      <c r="X647" s="19" t="s">
        <v>160</v>
      </c>
      <c r="BA647" s="7"/>
      <c r="BB647" s="7"/>
      <c r="BC647" s="7"/>
      <c r="BD647" s="7"/>
      <c r="BE647" s="7"/>
    </row>
    <row r="648" spans="1:57" x14ac:dyDescent="0.25">
      <c r="A648" s="9" t="s">
        <v>8</v>
      </c>
      <c r="B648" s="26">
        <v>33041</v>
      </c>
      <c r="C648" s="24" t="s">
        <v>1009</v>
      </c>
      <c r="D648" s="24" t="s">
        <v>1010</v>
      </c>
      <c r="E648" s="25">
        <f>56+33/60+57.4/3600</f>
        <v>56.56594444444444</v>
      </c>
      <c r="F648" s="25">
        <f>12+43/60+29.7/3600</f>
        <v>12.724916666666667</v>
      </c>
      <c r="G648" s="55"/>
      <c r="H648" s="9" t="s">
        <v>150</v>
      </c>
      <c r="I648" s="24" t="s">
        <v>8</v>
      </c>
      <c r="J648" s="24" t="s">
        <v>8</v>
      </c>
      <c r="K648" s="9" t="s">
        <v>951</v>
      </c>
      <c r="L648" s="7" t="s">
        <v>2587</v>
      </c>
      <c r="M648" s="7" t="s">
        <v>2653</v>
      </c>
      <c r="N648" s="42" t="s">
        <v>1118</v>
      </c>
      <c r="O648" s="22"/>
      <c r="P648" s="42" t="s">
        <v>160</v>
      </c>
      <c r="S648" s="19" t="s">
        <v>160</v>
      </c>
      <c r="T648" s="19" t="s">
        <v>160</v>
      </c>
      <c r="U648" s="42"/>
      <c r="X648" s="19" t="s">
        <v>160</v>
      </c>
      <c r="Y648" s="19" t="s">
        <v>160</v>
      </c>
      <c r="Z648" s="19" t="s">
        <v>160</v>
      </c>
      <c r="AA648" s="19" t="s">
        <v>160</v>
      </c>
      <c r="AB648" s="19" t="s">
        <v>160</v>
      </c>
      <c r="AC648" s="19" t="s">
        <v>160</v>
      </c>
      <c r="AL648" s="19" t="s">
        <v>160</v>
      </c>
      <c r="BB648" s="19"/>
      <c r="BC648" s="19"/>
      <c r="BD648" s="19"/>
      <c r="BE648" s="19"/>
    </row>
    <row r="649" spans="1:57" x14ac:dyDescent="0.25">
      <c r="A649" s="6" t="s">
        <v>8</v>
      </c>
      <c r="B649" s="9">
        <v>71140</v>
      </c>
      <c r="C649" s="9" t="s">
        <v>1442</v>
      </c>
      <c r="D649" s="9" t="s">
        <v>1443</v>
      </c>
      <c r="E649" s="3">
        <v>57.183399999999999</v>
      </c>
      <c r="F649" s="3">
        <v>11.533200000000001</v>
      </c>
      <c r="G649" s="9">
        <v>4</v>
      </c>
      <c r="H649" s="9" t="s">
        <v>150</v>
      </c>
      <c r="I649" s="6" t="s">
        <v>8</v>
      </c>
      <c r="J649" s="21" t="s">
        <v>8</v>
      </c>
      <c r="K649" s="3" t="s">
        <v>5</v>
      </c>
      <c r="L649" s="5" t="s">
        <v>2692</v>
      </c>
      <c r="M649" s="7" t="s">
        <v>717</v>
      </c>
      <c r="N649" s="19" t="s">
        <v>2490</v>
      </c>
      <c r="O649" s="22"/>
      <c r="P649" s="19" t="s">
        <v>160</v>
      </c>
      <c r="AR649" s="19" t="s">
        <v>160</v>
      </c>
      <c r="AT649" s="19" t="s">
        <v>160</v>
      </c>
      <c r="AV649" s="19" t="s">
        <v>160</v>
      </c>
      <c r="BB649" s="19"/>
      <c r="BC649" s="19"/>
      <c r="BD649" s="19"/>
      <c r="BE649" s="19"/>
    </row>
    <row r="650" spans="1:57" x14ac:dyDescent="0.25">
      <c r="A650" s="9" t="s">
        <v>707</v>
      </c>
      <c r="B650" s="39" t="s">
        <v>396</v>
      </c>
      <c r="C650" s="39" t="s">
        <v>909</v>
      </c>
      <c r="D650" s="40" t="s">
        <v>397</v>
      </c>
      <c r="E650" s="46" t="s">
        <v>2210</v>
      </c>
      <c r="F650" s="46" t="s">
        <v>2211</v>
      </c>
      <c r="G650" s="40"/>
      <c r="H650" s="9" t="s">
        <v>150</v>
      </c>
      <c r="I650" s="41" t="s">
        <v>169</v>
      </c>
      <c r="J650" s="41" t="s">
        <v>169</v>
      </c>
      <c r="K650" s="40" t="s">
        <v>5</v>
      </c>
      <c r="L650" s="41" t="s">
        <v>2043</v>
      </c>
      <c r="M650" s="7" t="s">
        <v>2653</v>
      </c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2"/>
      <c r="AJ650" s="42"/>
      <c r="AK650" s="42"/>
      <c r="AL650" s="42"/>
      <c r="AM650" s="42"/>
      <c r="AN650" s="42"/>
      <c r="AO650" s="42"/>
      <c r="AP650" s="42"/>
      <c r="AQ650" s="42"/>
      <c r="AR650" s="42" t="s">
        <v>160</v>
      </c>
      <c r="AS650" s="42" t="s">
        <v>160</v>
      </c>
      <c r="AZ650" s="42"/>
      <c r="BA650" s="42"/>
      <c r="BB650" s="42"/>
      <c r="BC650" s="42"/>
      <c r="BD650" s="42"/>
      <c r="BE650" s="42"/>
    </row>
    <row r="651" spans="1:57" x14ac:dyDescent="0.25">
      <c r="A651" s="6" t="s">
        <v>8</v>
      </c>
      <c r="B651" s="23">
        <v>35201</v>
      </c>
      <c r="C651" s="23" t="s">
        <v>909</v>
      </c>
      <c r="D651" s="24" t="s">
        <v>815</v>
      </c>
      <c r="E651" s="5">
        <v>59.358580000000003</v>
      </c>
      <c r="F651" s="5">
        <v>18.415099999999999</v>
      </c>
      <c r="G651" s="5"/>
      <c r="H651" s="9" t="s">
        <v>150</v>
      </c>
      <c r="I651" s="24" t="s">
        <v>169</v>
      </c>
      <c r="J651" s="24" t="s">
        <v>169</v>
      </c>
      <c r="K651" s="24" t="s">
        <v>5</v>
      </c>
      <c r="L651" s="24" t="s">
        <v>2043</v>
      </c>
      <c r="M651" s="7" t="s">
        <v>2653</v>
      </c>
      <c r="AR651" s="19" t="s">
        <v>160</v>
      </c>
      <c r="AS651" s="19" t="s">
        <v>160</v>
      </c>
      <c r="BB651" s="19"/>
      <c r="BC651" s="19"/>
      <c r="BD651" s="19"/>
      <c r="BE651" s="19"/>
    </row>
    <row r="652" spans="1:57" x14ac:dyDescent="0.25">
      <c r="A652" s="9" t="s">
        <v>706</v>
      </c>
      <c r="B652" s="38">
        <v>62</v>
      </c>
      <c r="C652" s="38" t="s">
        <v>909</v>
      </c>
      <c r="D652" s="62" t="s">
        <v>60</v>
      </c>
      <c r="E652" s="3">
        <f>59+21/60+31/3600</f>
        <v>59.358611111111109</v>
      </c>
      <c r="F652" s="3">
        <f>18+24/60+54/3600</f>
        <v>18.414999999999999</v>
      </c>
      <c r="G652" s="5"/>
      <c r="H652" s="9" t="s">
        <v>150</v>
      </c>
      <c r="I652" s="7" t="s">
        <v>169</v>
      </c>
      <c r="J652" s="7" t="s">
        <v>169</v>
      </c>
      <c r="K652" s="9" t="s">
        <v>5</v>
      </c>
      <c r="L652" s="7" t="s">
        <v>2043</v>
      </c>
      <c r="M652" s="7" t="s">
        <v>2653</v>
      </c>
      <c r="AR652" s="19" t="s">
        <v>160</v>
      </c>
      <c r="AS652" s="19" t="s">
        <v>160</v>
      </c>
      <c r="BB652" s="19"/>
      <c r="BC652" s="19"/>
      <c r="BD652" s="19"/>
      <c r="BE652" s="19"/>
    </row>
    <row r="653" spans="1:57" x14ac:dyDescent="0.25">
      <c r="A653" s="9" t="s">
        <v>8</v>
      </c>
      <c r="B653" s="26">
        <v>35066</v>
      </c>
      <c r="C653" s="24" t="s">
        <v>1082</v>
      </c>
      <c r="D653" s="24" t="s">
        <v>1082</v>
      </c>
      <c r="E653" s="25">
        <f>56+33/60</f>
        <v>56.55</v>
      </c>
      <c r="F653" s="25">
        <f>12+44/60</f>
        <v>12.733333333333333</v>
      </c>
      <c r="G653" s="132"/>
      <c r="H653" s="9" t="s">
        <v>150</v>
      </c>
      <c r="I653" s="9" t="s">
        <v>8</v>
      </c>
      <c r="J653" s="7" t="s">
        <v>8</v>
      </c>
      <c r="K653" s="10" t="s">
        <v>951</v>
      </c>
      <c r="L653" s="7" t="s">
        <v>2044</v>
      </c>
      <c r="M653" s="7" t="s">
        <v>717</v>
      </c>
      <c r="N653" s="42" t="s">
        <v>1353</v>
      </c>
      <c r="O653" s="22"/>
      <c r="P653" s="42" t="s">
        <v>160</v>
      </c>
      <c r="S653" s="42" t="s">
        <v>160</v>
      </c>
      <c r="T653" s="19" t="s">
        <v>160</v>
      </c>
      <c r="U653" s="42"/>
      <c r="AN653" s="19" t="s">
        <v>160</v>
      </c>
      <c r="BB653" s="19"/>
      <c r="BC653" s="19"/>
      <c r="BD653" s="19"/>
      <c r="BE653" s="19"/>
    </row>
    <row r="654" spans="1:57" s="94" customFormat="1" x14ac:dyDescent="0.25">
      <c r="A654" s="98" t="s">
        <v>2773</v>
      </c>
      <c r="B654" s="135">
        <v>2100</v>
      </c>
      <c r="C654" s="98" t="s">
        <v>2627</v>
      </c>
      <c r="D654" s="98" t="s">
        <v>1240</v>
      </c>
      <c r="E654" s="189">
        <f>55+51/60+36/3600</f>
        <v>55.86</v>
      </c>
      <c r="F654" s="189">
        <f>12+49/60+48/3600</f>
        <v>12.83</v>
      </c>
      <c r="G654" s="101"/>
      <c r="H654" s="98" t="s">
        <v>150</v>
      </c>
      <c r="I654" s="98" t="s">
        <v>8</v>
      </c>
      <c r="J654" s="102" t="s">
        <v>8</v>
      </c>
      <c r="K654" s="98" t="s">
        <v>6</v>
      </c>
      <c r="L654" s="102" t="s">
        <v>2030</v>
      </c>
      <c r="M654" s="102" t="s">
        <v>717</v>
      </c>
      <c r="N654" s="104" t="s">
        <v>1318</v>
      </c>
      <c r="O654" s="104"/>
      <c r="P654" s="104"/>
      <c r="Q654" s="103" t="s">
        <v>1647</v>
      </c>
      <c r="R654" s="103"/>
      <c r="S654" s="103"/>
      <c r="T654" s="103"/>
      <c r="U654" s="104">
        <v>4</v>
      </c>
      <c r="V654" s="103" t="s">
        <v>160</v>
      </c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  <c r="BD654" s="103"/>
      <c r="BE654" s="103"/>
    </row>
    <row r="655" spans="1:57" x14ac:dyDescent="0.25">
      <c r="A655" s="10" t="s">
        <v>8</v>
      </c>
      <c r="B655" s="155">
        <v>2100</v>
      </c>
      <c r="C655" s="10" t="s">
        <v>2627</v>
      </c>
      <c r="D655" s="10" t="s">
        <v>1240</v>
      </c>
      <c r="E655" s="195">
        <v>55.86</v>
      </c>
      <c r="F655" s="195">
        <v>12.83</v>
      </c>
      <c r="G655" s="30"/>
      <c r="H655" s="10" t="s">
        <v>150</v>
      </c>
      <c r="I655" s="10" t="s">
        <v>8</v>
      </c>
      <c r="J655" s="24" t="s">
        <v>8</v>
      </c>
      <c r="K655" s="10" t="s">
        <v>6</v>
      </c>
      <c r="L655" s="24" t="s">
        <v>2030</v>
      </c>
      <c r="M655" s="24" t="s">
        <v>717</v>
      </c>
      <c r="N655" s="22" t="s">
        <v>1318</v>
      </c>
      <c r="O655" s="22"/>
      <c r="P655" s="22"/>
      <c r="Q655" s="20" t="s">
        <v>1647</v>
      </c>
      <c r="R655" s="20"/>
      <c r="S655" s="20"/>
      <c r="T655" s="20"/>
      <c r="U655" s="22">
        <v>4</v>
      </c>
      <c r="V655" s="20" t="s">
        <v>160</v>
      </c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  <c r="BE655" s="20"/>
    </row>
    <row r="656" spans="1:57" x14ac:dyDescent="0.25">
      <c r="A656" s="9" t="s">
        <v>8</v>
      </c>
      <c r="B656" s="26">
        <v>35007</v>
      </c>
      <c r="C656" s="24" t="s">
        <v>816</v>
      </c>
      <c r="D656" t="s">
        <v>1038</v>
      </c>
      <c r="E656" s="25">
        <f>58+29/60</f>
        <v>58.483333333333334</v>
      </c>
      <c r="F656" s="25">
        <f>17+52/60</f>
        <v>17.866666666666667</v>
      </c>
      <c r="G656" s="9"/>
      <c r="H656" s="9" t="s">
        <v>150</v>
      </c>
      <c r="I656" s="9" t="s">
        <v>8</v>
      </c>
      <c r="J656" s="7" t="s">
        <v>8</v>
      </c>
      <c r="K656" s="10" t="s">
        <v>951</v>
      </c>
      <c r="L656" s="7" t="s">
        <v>2684</v>
      </c>
      <c r="M656" s="7" t="s">
        <v>717</v>
      </c>
      <c r="N656" s="42" t="s">
        <v>1330</v>
      </c>
      <c r="O656" s="22"/>
      <c r="P656" s="42"/>
      <c r="S656" s="19" t="s">
        <v>160</v>
      </c>
      <c r="T656" s="19" t="s">
        <v>160</v>
      </c>
      <c r="U656" s="42"/>
      <c r="X656" s="19" t="s">
        <v>160</v>
      </c>
      <c r="Z656" s="19" t="s">
        <v>160</v>
      </c>
      <c r="AL656" s="19" t="s">
        <v>160</v>
      </c>
      <c r="AR656" s="19" t="s">
        <v>160</v>
      </c>
      <c r="AT656" s="19" t="s">
        <v>160</v>
      </c>
      <c r="AV656" s="19" t="s">
        <v>160</v>
      </c>
      <c r="BB656" s="19"/>
      <c r="BC656" s="19"/>
      <c r="BD656" s="19"/>
      <c r="BE656" s="19"/>
    </row>
    <row r="657" spans="1:57" s="94" customFormat="1" x14ac:dyDescent="0.25">
      <c r="A657" s="94" t="s">
        <v>2773</v>
      </c>
      <c r="B657" s="136">
        <v>2073</v>
      </c>
      <c r="C657" s="109" t="s">
        <v>967</v>
      </c>
      <c r="D657" s="184" t="s">
        <v>816</v>
      </c>
      <c r="E657" s="82">
        <f>58+44/60+32.03/3600</f>
        <v>58.742230555555558</v>
      </c>
      <c r="F657" s="82">
        <f>17+51/60+55.16/3600</f>
        <v>17.865322222222222</v>
      </c>
      <c r="G657" s="82"/>
      <c r="H657" s="105" t="s">
        <v>150</v>
      </c>
      <c r="I657" s="105" t="s">
        <v>8</v>
      </c>
      <c r="J657" s="105" t="s">
        <v>8</v>
      </c>
      <c r="K657" s="94" t="s">
        <v>6</v>
      </c>
      <c r="L657" s="105" t="s">
        <v>2030</v>
      </c>
      <c r="M657" s="105" t="s">
        <v>717</v>
      </c>
      <c r="N657" s="108" t="s">
        <v>1170</v>
      </c>
      <c r="O657" s="104"/>
      <c r="P657" s="108" t="s">
        <v>160</v>
      </c>
      <c r="Q657" s="107" t="s">
        <v>1169</v>
      </c>
      <c r="R657" s="107" t="s">
        <v>1598</v>
      </c>
      <c r="S657" s="108" t="s">
        <v>160</v>
      </c>
      <c r="T657" s="108" t="s">
        <v>160</v>
      </c>
      <c r="U657" s="108">
        <v>4</v>
      </c>
      <c r="V657" s="108" t="s">
        <v>160</v>
      </c>
      <c r="W657" s="108"/>
      <c r="X657" s="108"/>
      <c r="Y657" s="108"/>
      <c r="Z657" s="108"/>
      <c r="AA657" s="108"/>
      <c r="AB657" s="108"/>
      <c r="AC657" s="108"/>
      <c r="AD657" s="108"/>
      <c r="AE657" s="108"/>
      <c r="AF657" s="108"/>
      <c r="AG657" s="108"/>
      <c r="AH657" s="108"/>
      <c r="AI657" s="108"/>
      <c r="AJ657" s="108"/>
      <c r="AK657" s="108"/>
      <c r="AL657" s="108"/>
      <c r="AM657" s="108"/>
      <c r="AN657" s="108"/>
      <c r="AO657" s="108"/>
      <c r="AP657" s="108"/>
      <c r="AQ657" s="108"/>
      <c r="AR657" s="108"/>
      <c r="AS657" s="108"/>
      <c r="AT657" s="108"/>
      <c r="AU657" s="108"/>
      <c r="AV657" s="108"/>
      <c r="AW657" s="108"/>
      <c r="AX657" s="108"/>
      <c r="AY657" s="108"/>
      <c r="AZ657" s="108"/>
      <c r="BA657" s="108"/>
      <c r="BB657" s="108"/>
      <c r="BC657" s="108"/>
      <c r="BD657" s="108"/>
      <c r="BE657" s="108"/>
    </row>
    <row r="658" spans="1:57" x14ac:dyDescent="0.25">
      <c r="A658" s="9" t="s">
        <v>8</v>
      </c>
      <c r="B658" s="140">
        <v>2073</v>
      </c>
      <c r="C658" s="38" t="s">
        <v>967</v>
      </c>
      <c r="D658" t="s">
        <v>816</v>
      </c>
      <c r="E658" s="193">
        <v>58.7425</v>
      </c>
      <c r="F658" s="193">
        <v>17.865200000000002</v>
      </c>
      <c r="H658" s="7" t="s">
        <v>150</v>
      </c>
      <c r="I658" s="7" t="s">
        <v>8</v>
      </c>
      <c r="J658" s="7" t="s">
        <v>8</v>
      </c>
      <c r="K658" s="9" t="s">
        <v>6</v>
      </c>
      <c r="L658" s="7" t="s">
        <v>2030</v>
      </c>
      <c r="M658" s="7" t="s">
        <v>717</v>
      </c>
      <c r="N658" s="19" t="s">
        <v>1170</v>
      </c>
      <c r="O658" s="22"/>
      <c r="P658" s="19" t="s">
        <v>160</v>
      </c>
      <c r="Q658" s="44" t="s">
        <v>1169</v>
      </c>
      <c r="R658" s="44" t="s">
        <v>1598</v>
      </c>
      <c r="S658" s="19" t="s">
        <v>160</v>
      </c>
      <c r="T658" s="19" t="s">
        <v>160</v>
      </c>
      <c r="U658" s="19">
        <v>4</v>
      </c>
      <c r="V658" s="19" t="s">
        <v>160</v>
      </c>
      <c r="BB658" s="19"/>
      <c r="BC658" s="19"/>
      <c r="BD658" s="19"/>
      <c r="BE658" s="19"/>
    </row>
    <row r="659" spans="1:57" s="94" customFormat="1" x14ac:dyDescent="0.25">
      <c r="A659" s="9" t="s">
        <v>707</v>
      </c>
      <c r="B659" s="137" t="s">
        <v>398</v>
      </c>
      <c r="C659" s="39" t="s">
        <v>855</v>
      </c>
      <c r="D659" s="40" t="s">
        <v>399</v>
      </c>
      <c r="E659" s="46" t="s">
        <v>2122</v>
      </c>
      <c r="F659" s="46" t="s">
        <v>2123</v>
      </c>
      <c r="G659" s="40"/>
      <c r="H659" s="9" t="s">
        <v>150</v>
      </c>
      <c r="I659" s="41" t="s">
        <v>169</v>
      </c>
      <c r="J659" s="41" t="s">
        <v>169</v>
      </c>
      <c r="K659" s="40" t="s">
        <v>40</v>
      </c>
      <c r="L659" s="41" t="s">
        <v>2054</v>
      </c>
      <c r="M659" s="7" t="s">
        <v>2653</v>
      </c>
      <c r="N659" s="19" t="s">
        <v>1108</v>
      </c>
      <c r="O659" s="42" t="s">
        <v>160</v>
      </c>
      <c r="P659" s="19"/>
      <c r="Q659" s="44" t="s">
        <v>1169</v>
      </c>
      <c r="R659" s="19"/>
      <c r="S659" s="19"/>
      <c r="T659" s="19"/>
      <c r="U659" s="19">
        <v>4</v>
      </c>
      <c r="V659" s="42" t="s">
        <v>160</v>
      </c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  <c r="AJ659" s="42"/>
      <c r="AK659" s="42"/>
      <c r="AL659" s="42"/>
      <c r="AM659" s="42"/>
      <c r="AN659" s="42"/>
      <c r="AO659" s="42"/>
      <c r="AP659" s="42"/>
      <c r="AQ659" s="42"/>
      <c r="AR659" s="42" t="s">
        <v>160</v>
      </c>
      <c r="AS659" s="42"/>
      <c r="AT659" s="19"/>
      <c r="AU659" s="19"/>
      <c r="AV659" s="19"/>
      <c r="AW659" s="19"/>
      <c r="AX659" s="19"/>
      <c r="AY659" s="19"/>
      <c r="AZ659" s="42"/>
      <c r="BA659" s="42"/>
      <c r="BB659" s="42"/>
      <c r="BC659" s="42"/>
      <c r="BD659" s="42"/>
      <c r="BE659" s="42"/>
    </row>
    <row r="660" spans="1:57" x14ac:dyDescent="0.25">
      <c r="A660" s="114" t="s">
        <v>2773</v>
      </c>
      <c r="B660" s="139" t="s">
        <v>2802</v>
      </c>
      <c r="C660" s="110" t="s">
        <v>855</v>
      </c>
      <c r="D660" s="172" t="s">
        <v>855</v>
      </c>
      <c r="E660" s="93">
        <f>58+44/60+40.49/3600</f>
        <v>58.744580555555558</v>
      </c>
      <c r="F660" s="93">
        <f>17+51/60+54.05/3600</f>
        <v>17.865013888888889</v>
      </c>
      <c r="G660" s="93"/>
      <c r="H660" s="94" t="s">
        <v>150</v>
      </c>
      <c r="I660" s="102" t="s">
        <v>169</v>
      </c>
      <c r="J660" s="102" t="s">
        <v>169</v>
      </c>
      <c r="K660" s="102" t="s">
        <v>40</v>
      </c>
      <c r="L660" s="102" t="s">
        <v>2054</v>
      </c>
      <c r="M660" s="105" t="s">
        <v>2653</v>
      </c>
      <c r="N660" s="108" t="s">
        <v>1108</v>
      </c>
      <c r="O660" s="106" t="s">
        <v>160</v>
      </c>
      <c r="P660" s="108"/>
      <c r="Q660" s="107" t="s">
        <v>1169</v>
      </c>
      <c r="R660" s="108"/>
      <c r="S660" s="108"/>
      <c r="T660" s="108"/>
      <c r="U660" s="108">
        <v>4</v>
      </c>
      <c r="V660" s="108" t="s">
        <v>160</v>
      </c>
      <c r="W660" s="108"/>
      <c r="X660" s="108"/>
      <c r="Y660" s="108"/>
      <c r="Z660" s="108"/>
      <c r="AA660" s="108"/>
      <c r="AB660" s="108"/>
      <c r="AC660" s="108"/>
      <c r="AD660" s="108"/>
      <c r="AE660" s="108"/>
      <c r="AF660" s="108"/>
      <c r="AG660" s="108"/>
      <c r="AH660" s="108"/>
      <c r="AI660" s="108"/>
      <c r="AJ660" s="108"/>
      <c r="AK660" s="108"/>
      <c r="AL660" s="108"/>
      <c r="AM660" s="108"/>
      <c r="AN660" s="108"/>
      <c r="AO660" s="108"/>
      <c r="AP660" s="108"/>
      <c r="AQ660" s="108"/>
      <c r="AR660" s="108" t="s">
        <v>160</v>
      </c>
      <c r="AS660" s="108"/>
      <c r="AT660" s="108"/>
      <c r="AU660" s="108"/>
      <c r="AV660" s="108"/>
      <c r="AW660" s="108"/>
      <c r="AX660" s="108"/>
      <c r="AY660" s="108"/>
      <c r="AZ660" s="108"/>
      <c r="BA660" s="108"/>
      <c r="BB660" s="108"/>
      <c r="BC660" s="108"/>
      <c r="BD660" s="108"/>
      <c r="BE660" s="108"/>
    </row>
    <row r="661" spans="1:57" x14ac:dyDescent="0.25">
      <c r="A661" s="6" t="s">
        <v>8</v>
      </c>
      <c r="B661" s="142" t="s">
        <v>2905</v>
      </c>
      <c r="C661" s="23" t="s">
        <v>855</v>
      </c>
      <c r="D661" s="24" t="s">
        <v>855</v>
      </c>
      <c r="E661" s="193">
        <v>58.744599999999998</v>
      </c>
      <c r="F661" s="193">
        <v>17.864999999999998</v>
      </c>
      <c r="G661" s="5"/>
      <c r="H661" s="9" t="s">
        <v>150</v>
      </c>
      <c r="I661" s="24" t="s">
        <v>169</v>
      </c>
      <c r="J661" s="24" t="s">
        <v>169</v>
      </c>
      <c r="K661" s="24" t="s">
        <v>40</v>
      </c>
      <c r="L661" s="24" t="s">
        <v>2054</v>
      </c>
      <c r="M661" s="7" t="s">
        <v>2653</v>
      </c>
      <c r="N661" s="19" t="s">
        <v>1108</v>
      </c>
      <c r="O661" s="42" t="s">
        <v>160</v>
      </c>
      <c r="Q661" s="44" t="s">
        <v>1169</v>
      </c>
      <c r="U661" s="19">
        <v>4</v>
      </c>
      <c r="V661" s="19" t="s">
        <v>160</v>
      </c>
      <c r="AR661" s="19" t="s">
        <v>160</v>
      </c>
      <c r="BB661" s="19"/>
      <c r="BC661" s="19"/>
      <c r="BD661" s="19"/>
      <c r="BE661" s="19"/>
    </row>
    <row r="662" spans="1:57" x14ac:dyDescent="0.25">
      <c r="A662" s="9" t="s">
        <v>706</v>
      </c>
      <c r="B662" s="144">
        <v>2</v>
      </c>
      <c r="C662" s="23" t="s">
        <v>855</v>
      </c>
      <c r="D662" s="78" t="s">
        <v>816</v>
      </c>
      <c r="E662" s="35">
        <v>58.743167</v>
      </c>
      <c r="F662" s="35">
        <v>17.867166999999998</v>
      </c>
      <c r="H662" s="9" t="s">
        <v>150</v>
      </c>
      <c r="I662" s="7" t="s">
        <v>169</v>
      </c>
      <c r="J662" s="7" t="s">
        <v>169</v>
      </c>
      <c r="K662" s="9" t="s">
        <v>40</v>
      </c>
      <c r="L662" s="7" t="s">
        <v>2054</v>
      </c>
      <c r="M662" s="7" t="s">
        <v>2653</v>
      </c>
      <c r="N662" s="19" t="s">
        <v>1108</v>
      </c>
      <c r="O662" s="42" t="s">
        <v>160</v>
      </c>
      <c r="Q662" s="44" t="s">
        <v>1169</v>
      </c>
      <c r="U662" s="19">
        <v>4</v>
      </c>
      <c r="V662" s="19" t="s">
        <v>160</v>
      </c>
      <c r="AR662" s="19" t="s">
        <v>160</v>
      </c>
      <c r="BB662" s="19"/>
      <c r="BC662" s="19"/>
      <c r="BD662" s="19"/>
      <c r="BE662" s="19"/>
    </row>
    <row r="663" spans="1:57" x14ac:dyDescent="0.25">
      <c r="A663" s="9" t="s">
        <v>8</v>
      </c>
      <c r="B663" s="27">
        <v>37205</v>
      </c>
      <c r="C663" s="28" t="s">
        <v>1946</v>
      </c>
      <c r="D663" s="28" t="s">
        <v>816</v>
      </c>
      <c r="E663" s="25">
        <v>58.7333</v>
      </c>
      <c r="F663" s="25">
        <v>17.866700000000002</v>
      </c>
      <c r="H663" s="9" t="s">
        <v>150</v>
      </c>
      <c r="I663" s="9" t="s">
        <v>8</v>
      </c>
      <c r="J663" s="7" t="s">
        <v>8</v>
      </c>
      <c r="K663" s="6" t="s">
        <v>2455</v>
      </c>
      <c r="L663" s="7" t="s">
        <v>2027</v>
      </c>
      <c r="M663" s="28" t="s">
        <v>717</v>
      </c>
      <c r="N663" s="19" t="s">
        <v>1833</v>
      </c>
      <c r="O663" s="22"/>
      <c r="T663" s="7"/>
      <c r="X663" s="19" t="s">
        <v>160</v>
      </c>
      <c r="BA663" s="7"/>
      <c r="BB663" s="7"/>
      <c r="BC663" s="7"/>
      <c r="BD663" s="7"/>
      <c r="BE663" s="7"/>
    </row>
    <row r="664" spans="1:57" x14ac:dyDescent="0.25">
      <c r="A664" s="6" t="s">
        <v>8</v>
      </c>
      <c r="B664" s="9">
        <v>87450</v>
      </c>
      <c r="C664" s="9" t="s">
        <v>2017</v>
      </c>
      <c r="D664" s="9" t="s">
        <v>816</v>
      </c>
      <c r="E664" s="3">
        <v>58.740400000000001</v>
      </c>
      <c r="F664" s="3">
        <v>17.865500000000001</v>
      </c>
      <c r="G664" s="9">
        <v>12.653</v>
      </c>
      <c r="H664" s="3" t="s">
        <v>150</v>
      </c>
      <c r="I664" s="21" t="s">
        <v>8</v>
      </c>
      <c r="J664" s="21" t="s">
        <v>8</v>
      </c>
      <c r="K664" s="3" t="s">
        <v>5</v>
      </c>
      <c r="L664" s="5" t="s">
        <v>2028</v>
      </c>
      <c r="M664" s="5" t="s">
        <v>2653</v>
      </c>
      <c r="N664" s="19" t="s">
        <v>2569</v>
      </c>
      <c r="O664" s="22"/>
      <c r="P664" s="19" t="s">
        <v>160</v>
      </c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19" t="s">
        <v>160</v>
      </c>
      <c r="AU664" s="19" t="s">
        <v>160</v>
      </c>
      <c r="BB664" s="19"/>
      <c r="BC664" s="19"/>
      <c r="BD664" s="19"/>
      <c r="BE664" s="19"/>
    </row>
    <row r="665" spans="1:57" x14ac:dyDescent="0.25">
      <c r="A665" s="6" t="s">
        <v>8</v>
      </c>
      <c r="B665" s="9">
        <v>87450</v>
      </c>
      <c r="C665" s="9" t="s">
        <v>2017</v>
      </c>
      <c r="D665" s="9" t="s">
        <v>816</v>
      </c>
      <c r="E665" s="3">
        <v>58.743099999999998</v>
      </c>
      <c r="F665" s="3">
        <v>17.870899999999999</v>
      </c>
      <c r="G665" s="9">
        <v>12.653</v>
      </c>
      <c r="H665" s="9" t="s">
        <v>150</v>
      </c>
      <c r="I665" s="6" t="s">
        <v>8</v>
      </c>
      <c r="J665" s="21" t="s">
        <v>8</v>
      </c>
      <c r="K665" s="3" t="s">
        <v>5</v>
      </c>
      <c r="L665" s="5" t="s">
        <v>2680</v>
      </c>
      <c r="M665" s="7" t="s">
        <v>717</v>
      </c>
      <c r="N665" s="19" t="s">
        <v>2501</v>
      </c>
      <c r="O665" s="22"/>
      <c r="P665" s="19" t="s">
        <v>160</v>
      </c>
      <c r="AR665" s="19" t="s">
        <v>160</v>
      </c>
      <c r="AT665" s="19" t="s">
        <v>160</v>
      </c>
      <c r="AU665" s="19" t="s">
        <v>160</v>
      </c>
      <c r="AV665" s="19" t="s">
        <v>160</v>
      </c>
      <c r="AX665" s="19" t="s">
        <v>160</v>
      </c>
      <c r="AZ665" s="19" t="s">
        <v>160</v>
      </c>
      <c r="BB665" s="19"/>
      <c r="BC665" s="19"/>
      <c r="BD665" s="19"/>
      <c r="BE665" s="19"/>
    </row>
    <row r="666" spans="1:57" s="94" customFormat="1" x14ac:dyDescent="0.25">
      <c r="A666" s="32" t="s">
        <v>707</v>
      </c>
      <c r="B666" s="33"/>
      <c r="C666" s="33" t="s">
        <v>1444</v>
      </c>
      <c r="D666" s="33" t="s">
        <v>1445</v>
      </c>
      <c r="E666" s="35"/>
      <c r="F666" s="35"/>
      <c r="G666" s="33"/>
      <c r="H666" s="33" t="s">
        <v>150</v>
      </c>
      <c r="I666" s="21" t="s">
        <v>8</v>
      </c>
      <c r="J666" s="32" t="s">
        <v>8</v>
      </c>
      <c r="K666" s="35" t="s">
        <v>5</v>
      </c>
      <c r="L666" s="35" t="s">
        <v>2043</v>
      </c>
      <c r="M666" s="33" t="s">
        <v>2653</v>
      </c>
      <c r="N666" s="37" t="s">
        <v>2303</v>
      </c>
      <c r="O666" s="67"/>
      <c r="P666" s="37" t="s">
        <v>160</v>
      </c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7"/>
      <c r="AK666" s="37"/>
      <c r="AL666" s="37"/>
      <c r="AM666" s="37"/>
      <c r="AN666" s="37"/>
      <c r="AO666" s="37"/>
      <c r="AP666" s="37"/>
      <c r="AQ666" s="37"/>
      <c r="AR666" s="37" t="s">
        <v>160</v>
      </c>
      <c r="AS666" s="37" t="s">
        <v>160</v>
      </c>
      <c r="AT666" s="37"/>
      <c r="AU666" s="37"/>
      <c r="AV666" s="37"/>
      <c r="AW666" s="37"/>
      <c r="AX666" s="37"/>
      <c r="AY666" s="37"/>
      <c r="AZ666" s="37"/>
      <c r="BA666" s="37"/>
      <c r="BB666" s="37"/>
      <c r="BC666" s="37"/>
      <c r="BD666" s="37"/>
      <c r="BE666" s="37"/>
    </row>
    <row r="667" spans="1:57" x14ac:dyDescent="0.25">
      <c r="A667" s="114" t="s">
        <v>2773</v>
      </c>
      <c r="B667" s="94" t="s">
        <v>2858</v>
      </c>
      <c r="C667" s="94" t="s">
        <v>1444</v>
      </c>
      <c r="D667" s="153" t="s">
        <v>1445</v>
      </c>
      <c r="E667" s="93">
        <f>58+44/60+34.44/3600</f>
        <v>58.742899999999999</v>
      </c>
      <c r="F667" s="93">
        <f>17+52/60+6.24/3600</f>
        <v>17.868400000000001</v>
      </c>
      <c r="G667" s="94">
        <v>17.484000000000002</v>
      </c>
      <c r="H667" s="94" t="s">
        <v>150</v>
      </c>
      <c r="I667" s="122" t="s">
        <v>8</v>
      </c>
      <c r="J667" s="122" t="s">
        <v>8</v>
      </c>
      <c r="K667" s="82" t="s">
        <v>5</v>
      </c>
      <c r="L667" s="93" t="s">
        <v>2680</v>
      </c>
      <c r="M667" s="105" t="s">
        <v>2653</v>
      </c>
      <c r="N667" s="108" t="s">
        <v>2303</v>
      </c>
      <c r="O667" s="104"/>
      <c r="P667" s="108" t="s">
        <v>160</v>
      </c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  <c r="AA667" s="108"/>
      <c r="AB667" s="108"/>
      <c r="AC667" s="108"/>
      <c r="AD667" s="108"/>
      <c r="AE667" s="108"/>
      <c r="AF667" s="108"/>
      <c r="AG667" s="108"/>
      <c r="AH667" s="108"/>
      <c r="AI667" s="108"/>
      <c r="AJ667" s="108"/>
      <c r="AK667" s="108"/>
      <c r="AL667" s="108"/>
      <c r="AM667" s="108"/>
      <c r="AN667" s="108"/>
      <c r="AO667" s="108"/>
      <c r="AP667" s="108"/>
      <c r="AQ667" s="108"/>
      <c r="AR667" s="108" t="s">
        <v>160</v>
      </c>
      <c r="AS667" s="108" t="s">
        <v>160</v>
      </c>
      <c r="AT667" s="108" t="s">
        <v>160</v>
      </c>
      <c r="AU667" s="108" t="s">
        <v>160</v>
      </c>
      <c r="AV667" s="108" t="s">
        <v>160</v>
      </c>
      <c r="AW667" s="108" t="s">
        <v>160</v>
      </c>
      <c r="AX667" s="108" t="s">
        <v>160</v>
      </c>
      <c r="AY667" s="108" t="s">
        <v>160</v>
      </c>
      <c r="AZ667" s="108" t="s">
        <v>160</v>
      </c>
      <c r="BA667" s="108" t="s">
        <v>160</v>
      </c>
      <c r="BB667" s="108"/>
      <c r="BC667" s="108"/>
      <c r="BD667" s="108"/>
      <c r="BE667" s="108"/>
    </row>
    <row r="668" spans="1:57" s="33" customFormat="1" x14ac:dyDescent="0.25">
      <c r="A668" s="6" t="s">
        <v>8</v>
      </c>
      <c r="B668" s="9">
        <v>87440</v>
      </c>
      <c r="C668" s="9" t="s">
        <v>1444</v>
      </c>
      <c r="D668" s="9" t="s">
        <v>1445</v>
      </c>
      <c r="E668" s="5">
        <f>58+44/60+34.44/3600</f>
        <v>58.742899999999999</v>
      </c>
      <c r="F668" s="5">
        <f>17+52/60+6.24/3600</f>
        <v>17.868400000000001</v>
      </c>
      <c r="G668" s="9">
        <v>17.484000000000002</v>
      </c>
      <c r="H668" s="9" t="s">
        <v>150</v>
      </c>
      <c r="I668" s="21" t="s">
        <v>8</v>
      </c>
      <c r="J668" s="21" t="s">
        <v>8</v>
      </c>
      <c r="K668" s="3" t="s">
        <v>5</v>
      </c>
      <c r="L668" s="5" t="s">
        <v>2680</v>
      </c>
      <c r="M668" s="7" t="s">
        <v>2653</v>
      </c>
      <c r="N668" s="19" t="s">
        <v>2303</v>
      </c>
      <c r="O668" s="22"/>
      <c r="P668" s="19" t="s">
        <v>160</v>
      </c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 t="s">
        <v>160</v>
      </c>
      <c r="AS668" s="19" t="s">
        <v>160</v>
      </c>
      <c r="AT668" s="19" t="s">
        <v>160</v>
      </c>
      <c r="AU668" s="19" t="s">
        <v>160</v>
      </c>
      <c r="AV668" s="19" t="s">
        <v>160</v>
      </c>
      <c r="AW668" s="19" t="s">
        <v>160</v>
      </c>
      <c r="AX668" s="19" t="s">
        <v>160</v>
      </c>
      <c r="AY668" s="19" t="s">
        <v>160</v>
      </c>
      <c r="AZ668" s="19" t="s">
        <v>160</v>
      </c>
      <c r="BA668" s="19" t="s">
        <v>160</v>
      </c>
      <c r="BB668" s="19"/>
      <c r="BC668" s="19"/>
      <c r="BD668" s="19"/>
      <c r="BE668" s="19"/>
    </row>
    <row r="669" spans="1:57" x14ac:dyDescent="0.25">
      <c r="A669" s="6" t="s">
        <v>706</v>
      </c>
      <c r="B669" s="9">
        <v>225</v>
      </c>
      <c r="C669" s="9" t="s">
        <v>1444</v>
      </c>
      <c r="D669" s="62" t="s">
        <v>2767</v>
      </c>
      <c r="E669" s="3">
        <f>58+44/60+34/3600</f>
        <v>58.742777777777782</v>
      </c>
      <c r="F669" s="3">
        <f>17+52/60+6/3600</f>
        <v>17.868333333333332</v>
      </c>
      <c r="G669" s="9"/>
      <c r="H669" s="9" t="s">
        <v>150</v>
      </c>
      <c r="I669" s="21" t="s">
        <v>8</v>
      </c>
      <c r="J669" s="21" t="s">
        <v>8</v>
      </c>
      <c r="K669" s="3" t="s">
        <v>5</v>
      </c>
      <c r="L669" s="5" t="s">
        <v>2043</v>
      </c>
      <c r="M669" s="7" t="s">
        <v>2653</v>
      </c>
      <c r="N669" s="19" t="s">
        <v>2303</v>
      </c>
      <c r="O669" s="22"/>
      <c r="P669" s="19" t="s">
        <v>160</v>
      </c>
      <c r="AR669" s="19" t="s">
        <v>160</v>
      </c>
      <c r="AS669" s="19" t="s">
        <v>160</v>
      </c>
      <c r="BB669" s="19"/>
      <c r="BC669" s="19"/>
      <c r="BD669" s="19"/>
      <c r="BE669" s="19"/>
    </row>
    <row r="670" spans="1:57" s="94" customFormat="1" x14ac:dyDescent="0.25">
      <c r="A670" s="98" t="s">
        <v>2773</v>
      </c>
      <c r="B670" s="135">
        <v>2527</v>
      </c>
      <c r="C670" s="98" t="s">
        <v>1259</v>
      </c>
      <c r="D670" s="98" t="s">
        <v>1221</v>
      </c>
      <c r="E670" s="189">
        <f>58+44/60+24/3600</f>
        <v>58.74</v>
      </c>
      <c r="F670" s="189">
        <f>17+52/60+12/3600</f>
        <v>17.87</v>
      </c>
      <c r="G670" s="101"/>
      <c r="H670" s="98" t="s">
        <v>150</v>
      </c>
      <c r="I670" s="98" t="s">
        <v>8</v>
      </c>
      <c r="J670" s="102" t="s">
        <v>8</v>
      </c>
      <c r="K670" s="98" t="s">
        <v>6</v>
      </c>
      <c r="L670" s="102" t="s">
        <v>2030</v>
      </c>
      <c r="M670" s="102" t="s">
        <v>717</v>
      </c>
      <c r="N670" s="104" t="s">
        <v>1296</v>
      </c>
      <c r="O670" s="104"/>
      <c r="P670" s="104"/>
      <c r="Q670" s="107" t="s">
        <v>1169</v>
      </c>
      <c r="R670" s="103"/>
      <c r="S670" s="103"/>
      <c r="T670" s="103"/>
      <c r="U670" s="104">
        <v>4</v>
      </c>
      <c r="V670" s="103" t="s">
        <v>160</v>
      </c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  <c r="BD670" s="103"/>
      <c r="BE670" s="103"/>
    </row>
    <row r="671" spans="1:57" x14ac:dyDescent="0.25">
      <c r="A671" s="10" t="s">
        <v>8</v>
      </c>
      <c r="B671" s="155">
        <v>2527</v>
      </c>
      <c r="C671" s="10" t="s">
        <v>1259</v>
      </c>
      <c r="D671" s="10" t="s">
        <v>1221</v>
      </c>
      <c r="E671" s="193">
        <v>58.7395</v>
      </c>
      <c r="F671" s="193">
        <v>17.8658</v>
      </c>
      <c r="G671" s="30"/>
      <c r="H671" s="10" t="s">
        <v>150</v>
      </c>
      <c r="I671" s="10" t="s">
        <v>8</v>
      </c>
      <c r="J671" s="24" t="s">
        <v>8</v>
      </c>
      <c r="K671" s="10" t="s">
        <v>6</v>
      </c>
      <c r="L671" s="24" t="s">
        <v>2030</v>
      </c>
      <c r="M671" s="24" t="s">
        <v>717</v>
      </c>
      <c r="N671" s="22" t="s">
        <v>1296</v>
      </c>
      <c r="O671" s="22"/>
      <c r="P671" s="22"/>
      <c r="Q671" s="44" t="s">
        <v>1169</v>
      </c>
      <c r="R671" s="20"/>
      <c r="S671" s="20"/>
      <c r="T671" s="20"/>
      <c r="U671" s="22">
        <v>4</v>
      </c>
      <c r="V671" s="20" t="s">
        <v>160</v>
      </c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  <c r="BC671" s="20"/>
      <c r="BD671" s="20"/>
      <c r="BE671" s="20"/>
    </row>
    <row r="672" spans="1:57" x14ac:dyDescent="0.25">
      <c r="A672" s="9" t="s">
        <v>707</v>
      </c>
      <c r="B672" s="137" t="s">
        <v>400</v>
      </c>
      <c r="C672" s="23" t="s">
        <v>853</v>
      </c>
      <c r="D672" s="40" t="s">
        <v>401</v>
      </c>
      <c r="E672" s="46" t="s">
        <v>403</v>
      </c>
      <c r="F672" s="46" t="s">
        <v>402</v>
      </c>
      <c r="G672" s="40"/>
      <c r="H672" s="9" t="s">
        <v>150</v>
      </c>
      <c r="I672" s="41" t="s">
        <v>8</v>
      </c>
      <c r="J672" s="41" t="s">
        <v>8</v>
      </c>
      <c r="K672" s="40" t="s">
        <v>6</v>
      </c>
      <c r="L672" s="41" t="s">
        <v>2031</v>
      </c>
      <c r="M672" s="7" t="s">
        <v>2653</v>
      </c>
      <c r="N672" s="42" t="s">
        <v>1168</v>
      </c>
      <c r="O672" s="22"/>
      <c r="P672" s="42" t="s">
        <v>160</v>
      </c>
      <c r="Q672" s="44" t="s">
        <v>1169</v>
      </c>
      <c r="R672" s="44" t="s">
        <v>1599</v>
      </c>
      <c r="S672" s="19" t="s">
        <v>160</v>
      </c>
      <c r="T672" s="19" t="s">
        <v>160</v>
      </c>
      <c r="U672" s="19">
        <v>1</v>
      </c>
      <c r="V672" s="42" t="s">
        <v>160</v>
      </c>
      <c r="W672" s="42" t="s">
        <v>160</v>
      </c>
      <c r="X672" s="42" t="s">
        <v>160</v>
      </c>
      <c r="Y672" s="42" t="s">
        <v>160</v>
      </c>
      <c r="Z672" s="42"/>
      <c r="AA672" s="42"/>
      <c r="AB672" s="42"/>
      <c r="AC672" s="42"/>
      <c r="AD672" s="42"/>
      <c r="AE672" s="42"/>
      <c r="AF672" s="42"/>
      <c r="AG672" s="42"/>
      <c r="AH672" s="42"/>
      <c r="AI672" s="42"/>
      <c r="AJ672" s="42"/>
      <c r="AK672" s="42"/>
      <c r="AL672" s="42"/>
      <c r="AM672" s="42"/>
      <c r="AN672" s="42"/>
      <c r="AO672" s="42"/>
      <c r="AP672" s="42"/>
      <c r="AQ672" s="42"/>
      <c r="AR672" s="42"/>
      <c r="AS672" s="42"/>
      <c r="AZ672" s="42"/>
      <c r="BA672" s="42"/>
      <c r="BB672" s="42"/>
      <c r="BC672" s="42"/>
      <c r="BD672" s="42"/>
      <c r="BE672" s="42"/>
    </row>
    <row r="673" spans="1:57" x14ac:dyDescent="0.25">
      <c r="A673" s="53" t="s">
        <v>2763</v>
      </c>
      <c r="B673" s="138">
        <v>2507</v>
      </c>
      <c r="C673" s="53" t="s">
        <v>853</v>
      </c>
      <c r="D673" s="53" t="s">
        <v>750</v>
      </c>
      <c r="E673" s="57">
        <f>58+46/60+8/3600</f>
        <v>58.768888888888888</v>
      </c>
      <c r="F673" s="35">
        <f>17+51/60+32/3600</f>
        <v>17.858888888888892</v>
      </c>
      <c r="G673" s="54"/>
      <c r="H673" s="9" t="s">
        <v>150</v>
      </c>
      <c r="I673" s="7" t="s">
        <v>8</v>
      </c>
      <c r="J673" s="53" t="s">
        <v>8</v>
      </c>
      <c r="K673" s="7" t="s">
        <v>6</v>
      </c>
      <c r="L673" s="7" t="s">
        <v>2031</v>
      </c>
      <c r="M673" s="7" t="s">
        <v>2653</v>
      </c>
      <c r="N673" s="42" t="s">
        <v>1168</v>
      </c>
      <c r="O673" s="22"/>
      <c r="P673" s="42" t="s">
        <v>160</v>
      </c>
      <c r="Q673" s="44" t="s">
        <v>1169</v>
      </c>
      <c r="R673" s="44" t="s">
        <v>1599</v>
      </c>
      <c r="S673" s="19" t="s">
        <v>160</v>
      </c>
      <c r="T673" s="19" t="s">
        <v>160</v>
      </c>
      <c r="U673" s="42">
        <v>1</v>
      </c>
      <c r="V673" s="20" t="s">
        <v>160</v>
      </c>
      <c r="W673" s="20" t="s">
        <v>160</v>
      </c>
      <c r="X673" s="20" t="s">
        <v>160</v>
      </c>
      <c r="Y673" s="20" t="s">
        <v>160</v>
      </c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94" customFormat="1" x14ac:dyDescent="0.25">
      <c r="A674" s="105" t="s">
        <v>2773</v>
      </c>
      <c r="B674" s="139" t="s">
        <v>2801</v>
      </c>
      <c r="C674" s="110" t="s">
        <v>853</v>
      </c>
      <c r="D674" s="163" t="s">
        <v>750</v>
      </c>
      <c r="E674" s="81">
        <f>58+46/60+7.15/3600</f>
        <v>58.768652777777774</v>
      </c>
      <c r="F674" s="81">
        <f>17+51/60+31.94/3600</f>
        <v>17.858872222222224</v>
      </c>
      <c r="G674" s="81"/>
      <c r="H674" s="105" t="s">
        <v>150</v>
      </c>
      <c r="I674" s="105" t="s">
        <v>8</v>
      </c>
      <c r="J674" s="105" t="s">
        <v>8</v>
      </c>
      <c r="K674" s="105" t="s">
        <v>6</v>
      </c>
      <c r="L674" s="105" t="s">
        <v>2031</v>
      </c>
      <c r="M674" s="105" t="s">
        <v>2653</v>
      </c>
      <c r="N674" s="106" t="s">
        <v>1168</v>
      </c>
      <c r="O674" s="104"/>
      <c r="P674" s="106" t="s">
        <v>160</v>
      </c>
      <c r="Q674" s="107" t="s">
        <v>1169</v>
      </c>
      <c r="R674" s="107" t="s">
        <v>1599</v>
      </c>
      <c r="S674" s="108" t="s">
        <v>160</v>
      </c>
      <c r="T674" s="108" t="s">
        <v>160</v>
      </c>
      <c r="U674" s="106">
        <v>1</v>
      </c>
      <c r="V674" s="103" t="s">
        <v>160</v>
      </c>
      <c r="W674" s="103" t="s">
        <v>160</v>
      </c>
      <c r="X674" s="103" t="s">
        <v>160</v>
      </c>
      <c r="Y674" s="103" t="s">
        <v>160</v>
      </c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  <c r="BD674" s="103"/>
      <c r="BE674" s="103"/>
    </row>
    <row r="675" spans="1:57" x14ac:dyDescent="0.25">
      <c r="A675" s="7" t="s">
        <v>8</v>
      </c>
      <c r="B675" s="142" t="s">
        <v>2906</v>
      </c>
      <c r="C675" s="23" t="s">
        <v>853</v>
      </c>
      <c r="D675" t="s">
        <v>750</v>
      </c>
      <c r="E675" s="193">
        <v>58.768799999999999</v>
      </c>
      <c r="F675" s="193">
        <v>17.858899999999998</v>
      </c>
      <c r="G675" s="43"/>
      <c r="H675" s="7" t="s">
        <v>150</v>
      </c>
      <c r="I675" s="7" t="s">
        <v>8</v>
      </c>
      <c r="J675" s="7" t="s">
        <v>8</v>
      </c>
      <c r="K675" s="7" t="s">
        <v>6</v>
      </c>
      <c r="L675" s="7" t="s">
        <v>2031</v>
      </c>
      <c r="M675" s="7" t="s">
        <v>2653</v>
      </c>
      <c r="N675" s="42" t="s">
        <v>1168</v>
      </c>
      <c r="O675" s="22"/>
      <c r="P675" s="42" t="s">
        <v>160</v>
      </c>
      <c r="Q675" s="44" t="s">
        <v>1169</v>
      </c>
      <c r="R675" s="44" t="s">
        <v>1599</v>
      </c>
      <c r="S675" s="19" t="s">
        <v>160</v>
      </c>
      <c r="T675" s="19" t="s">
        <v>160</v>
      </c>
      <c r="U675" s="42">
        <v>1</v>
      </c>
      <c r="V675" s="20" t="s">
        <v>160</v>
      </c>
      <c r="W675" s="20" t="s">
        <v>160</v>
      </c>
      <c r="X675" s="20" t="s">
        <v>160</v>
      </c>
      <c r="Y675" s="20" t="s">
        <v>160</v>
      </c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  <c r="BC675" s="20"/>
      <c r="BD675" s="20"/>
      <c r="BE675" s="20"/>
    </row>
    <row r="676" spans="1:57" x14ac:dyDescent="0.25">
      <c r="A676" s="9" t="s">
        <v>706</v>
      </c>
      <c r="B676" s="140">
        <v>165</v>
      </c>
      <c r="C676" s="23" t="s">
        <v>853</v>
      </c>
      <c r="D676" s="88" t="s">
        <v>61</v>
      </c>
      <c r="E676" s="35">
        <f>58+46/60+8/3600</f>
        <v>58.768888888888888</v>
      </c>
      <c r="F676" s="35">
        <f>17+51/60+32/3600</f>
        <v>17.858888888888892</v>
      </c>
      <c r="H676" s="9" t="s">
        <v>150</v>
      </c>
      <c r="I676" s="7" t="s">
        <v>8</v>
      </c>
      <c r="J676" s="7" t="s">
        <v>8</v>
      </c>
      <c r="K676" s="9" t="s">
        <v>6</v>
      </c>
      <c r="L676" s="7" t="s">
        <v>2031</v>
      </c>
      <c r="M676" s="7" t="s">
        <v>2653</v>
      </c>
      <c r="N676" s="42" t="s">
        <v>1168</v>
      </c>
      <c r="O676" s="22"/>
      <c r="P676" s="42" t="s">
        <v>160</v>
      </c>
      <c r="Q676" s="44" t="s">
        <v>1169</v>
      </c>
      <c r="R676" s="44" t="s">
        <v>1599</v>
      </c>
      <c r="S676" s="19" t="s">
        <v>160</v>
      </c>
      <c r="T676" s="19" t="s">
        <v>160</v>
      </c>
      <c r="U676" s="19">
        <v>1</v>
      </c>
      <c r="V676" s="19" t="s">
        <v>160</v>
      </c>
      <c r="W676" s="19" t="s">
        <v>160</v>
      </c>
      <c r="X676" s="19" t="s">
        <v>160</v>
      </c>
      <c r="Y676" s="19" t="s">
        <v>160</v>
      </c>
      <c r="BB676" s="19"/>
      <c r="BC676" s="19"/>
      <c r="BD676" s="19"/>
      <c r="BE676" s="19"/>
    </row>
    <row r="677" spans="1:57" s="94" customFormat="1" x14ac:dyDescent="0.25">
      <c r="A677" s="9" t="s">
        <v>707</v>
      </c>
      <c r="B677" s="39" t="s">
        <v>404</v>
      </c>
      <c r="C677" s="39" t="s">
        <v>817</v>
      </c>
      <c r="D677" s="40" t="s">
        <v>405</v>
      </c>
      <c r="E677" s="46" t="s">
        <v>2124</v>
      </c>
      <c r="F677" s="46" t="s">
        <v>2125</v>
      </c>
      <c r="G677" s="40"/>
      <c r="H677" s="9" t="s">
        <v>150</v>
      </c>
      <c r="I677" s="41" t="s">
        <v>169</v>
      </c>
      <c r="J677" s="41" t="s">
        <v>169</v>
      </c>
      <c r="K677" s="40" t="s">
        <v>5</v>
      </c>
      <c r="L677" s="41" t="s">
        <v>2043</v>
      </c>
      <c r="M677" s="7" t="s">
        <v>2653</v>
      </c>
      <c r="N677" s="19"/>
      <c r="O677" s="19"/>
      <c r="P677" s="19"/>
      <c r="Q677" s="19"/>
      <c r="R677" s="19"/>
      <c r="S677" s="19"/>
      <c r="T677" s="19"/>
      <c r="U677" s="19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  <c r="AJ677" s="42"/>
      <c r="AK677" s="42"/>
      <c r="AL677" s="42"/>
      <c r="AM677" s="42"/>
      <c r="AN677" s="42"/>
      <c r="AO677" s="42"/>
      <c r="AP677" s="42"/>
      <c r="AQ677" s="42"/>
      <c r="AR677" s="42" t="s">
        <v>160</v>
      </c>
      <c r="AS677" s="42" t="s">
        <v>160</v>
      </c>
      <c r="AT677" s="19"/>
      <c r="AU677" s="19"/>
      <c r="AV677" s="19"/>
      <c r="AW677" s="19"/>
      <c r="AX677" s="19"/>
      <c r="AY677" s="19"/>
      <c r="AZ677" s="42"/>
      <c r="BA677" s="42"/>
      <c r="BB677" s="42"/>
      <c r="BC677" s="42"/>
      <c r="BD677" s="42"/>
      <c r="BE677" s="42"/>
    </row>
    <row r="678" spans="1:57" x14ac:dyDescent="0.25">
      <c r="A678" s="114" t="s">
        <v>2773</v>
      </c>
      <c r="B678" s="110" t="s">
        <v>2955</v>
      </c>
      <c r="C678" s="110" t="s">
        <v>817</v>
      </c>
      <c r="D678" s="153" t="s">
        <v>62</v>
      </c>
      <c r="E678" s="83">
        <f>65+28/60+7.7988/3600</f>
        <v>65.468833000000004</v>
      </c>
      <c r="F678" s="83">
        <f>22+27/60+51.0012/3600</f>
        <v>22.464167</v>
      </c>
      <c r="G678" s="93"/>
      <c r="H678" s="94" t="s">
        <v>150</v>
      </c>
      <c r="I678" s="102" t="s">
        <v>169</v>
      </c>
      <c r="J678" s="102" t="s">
        <v>169</v>
      </c>
      <c r="K678" s="102" t="s">
        <v>5</v>
      </c>
      <c r="L678" s="102" t="s">
        <v>2694</v>
      </c>
      <c r="M678" s="105" t="s">
        <v>2653</v>
      </c>
      <c r="N678" s="108"/>
      <c r="O678" s="108"/>
      <c r="P678" s="108"/>
      <c r="Q678" s="108"/>
      <c r="R678" s="108"/>
      <c r="S678" s="108"/>
      <c r="T678" s="108"/>
      <c r="U678" s="108"/>
      <c r="V678" s="108" t="s">
        <v>160</v>
      </c>
      <c r="W678" s="108" t="s">
        <v>160</v>
      </c>
      <c r="X678" s="108"/>
      <c r="Y678" s="108"/>
      <c r="Z678" s="108"/>
      <c r="AA678" s="108"/>
      <c r="AB678" s="108"/>
      <c r="AC678" s="108"/>
      <c r="AD678" s="108"/>
      <c r="AE678" s="108"/>
      <c r="AF678" s="108"/>
      <c r="AG678" s="108"/>
      <c r="AH678" s="108"/>
      <c r="AI678" s="108"/>
      <c r="AJ678" s="108"/>
      <c r="AK678" s="108"/>
      <c r="AL678" s="108"/>
      <c r="AM678" s="108"/>
      <c r="AN678" s="108"/>
      <c r="AO678" s="108"/>
      <c r="AP678" s="108"/>
      <c r="AQ678" s="108"/>
      <c r="AR678" s="108" t="s">
        <v>160</v>
      </c>
      <c r="AS678" s="108" t="s">
        <v>160</v>
      </c>
      <c r="AT678" s="108" t="s">
        <v>160</v>
      </c>
      <c r="AU678" s="108" t="s">
        <v>160</v>
      </c>
      <c r="AV678" s="108"/>
      <c r="AW678" s="108"/>
      <c r="AX678" s="108"/>
      <c r="AY678" s="108"/>
      <c r="AZ678" s="108"/>
      <c r="BA678" s="108"/>
      <c r="BB678" s="108"/>
      <c r="BC678" s="108"/>
      <c r="BD678" s="108"/>
      <c r="BE678" s="108"/>
    </row>
    <row r="679" spans="1:57" x14ac:dyDescent="0.25">
      <c r="A679" s="6" t="s">
        <v>8</v>
      </c>
      <c r="B679" s="23">
        <v>35123</v>
      </c>
      <c r="C679" s="23" t="s">
        <v>817</v>
      </c>
      <c r="D679" s="24" t="s">
        <v>817</v>
      </c>
      <c r="E679" s="52">
        <f>65+28/60+7.7988/3600</f>
        <v>65.468833000000004</v>
      </c>
      <c r="F679" s="52">
        <f>22+27/60+51.0012/3600</f>
        <v>22.464167</v>
      </c>
      <c r="G679" s="5"/>
      <c r="H679" s="9" t="s">
        <v>150</v>
      </c>
      <c r="I679" s="24" t="s">
        <v>169</v>
      </c>
      <c r="J679" s="24" t="s">
        <v>169</v>
      </c>
      <c r="K679" s="24" t="s">
        <v>5</v>
      </c>
      <c r="L679" s="24" t="s">
        <v>2694</v>
      </c>
      <c r="M679" s="7" t="s">
        <v>2653</v>
      </c>
      <c r="V679" s="19" t="s">
        <v>160</v>
      </c>
      <c r="W679" s="19" t="s">
        <v>160</v>
      </c>
      <c r="AR679" s="19" t="s">
        <v>160</v>
      </c>
      <c r="AS679" s="19" t="s">
        <v>160</v>
      </c>
      <c r="AT679" s="19" t="s">
        <v>160</v>
      </c>
      <c r="AU679" s="19" t="s">
        <v>160</v>
      </c>
      <c r="BB679" s="19"/>
      <c r="BC679" s="19"/>
      <c r="BD679" s="19"/>
      <c r="BE679" s="19"/>
    </row>
    <row r="680" spans="1:57" x14ac:dyDescent="0.25">
      <c r="A680" s="9" t="s">
        <v>706</v>
      </c>
      <c r="B680" s="38">
        <v>63</v>
      </c>
      <c r="C680" s="38" t="s">
        <v>817</v>
      </c>
      <c r="D680" s="62" t="s">
        <v>62</v>
      </c>
      <c r="E680" s="3">
        <f>65+28/60+8/3600</f>
        <v>65.468888888888884</v>
      </c>
      <c r="F680" s="3">
        <f>22+27/60+51/3600</f>
        <v>22.464166666666667</v>
      </c>
      <c r="G680" s="5"/>
      <c r="H680" s="9" t="s">
        <v>150</v>
      </c>
      <c r="I680" s="7" t="s">
        <v>169</v>
      </c>
      <c r="J680" s="7" t="s">
        <v>169</v>
      </c>
      <c r="K680" s="9" t="s">
        <v>5</v>
      </c>
      <c r="L680" s="7" t="s">
        <v>2694</v>
      </c>
      <c r="M680" s="7" t="s">
        <v>2653</v>
      </c>
      <c r="AR680" s="19" t="s">
        <v>160</v>
      </c>
      <c r="AS680" s="19" t="s">
        <v>160</v>
      </c>
      <c r="AT680" s="19" t="s">
        <v>160</v>
      </c>
      <c r="AU680" s="19" t="s">
        <v>160</v>
      </c>
      <c r="BB680" s="19"/>
      <c r="BC680" s="19"/>
      <c r="BD680" s="19"/>
      <c r="BE680" s="19"/>
    </row>
    <row r="681" spans="1:57" x14ac:dyDescent="0.25">
      <c r="A681" s="9" t="s">
        <v>8</v>
      </c>
      <c r="B681" s="26">
        <v>35069</v>
      </c>
      <c r="C681" s="24" t="s">
        <v>1085</v>
      </c>
      <c r="D681" s="24" t="s">
        <v>1688</v>
      </c>
      <c r="E681" s="25">
        <f>57+13/60</f>
        <v>57.216666666666669</v>
      </c>
      <c r="F681" s="25">
        <f>11+34/60</f>
        <v>11.566666666666666</v>
      </c>
      <c r="G681" s="9"/>
      <c r="H681" s="9" t="s">
        <v>150</v>
      </c>
      <c r="I681" s="9" t="s">
        <v>8</v>
      </c>
      <c r="J681" s="7" t="s">
        <v>8</v>
      </c>
      <c r="K681" s="10" t="s">
        <v>951</v>
      </c>
      <c r="L681" s="7" t="s">
        <v>2044</v>
      </c>
      <c r="M681" s="7" t="s">
        <v>717</v>
      </c>
      <c r="N681" s="42">
        <v>1988</v>
      </c>
      <c r="O681" s="22"/>
      <c r="P681" s="42" t="s">
        <v>160</v>
      </c>
      <c r="S681" s="42" t="s">
        <v>160</v>
      </c>
      <c r="T681" s="19" t="s">
        <v>160</v>
      </c>
      <c r="U681" s="42"/>
      <c r="AN681" s="19" t="s">
        <v>160</v>
      </c>
      <c r="BB681" s="19"/>
      <c r="BC681" s="19"/>
      <c r="BD681" s="19"/>
      <c r="BE681" s="19"/>
    </row>
    <row r="682" spans="1:57" x14ac:dyDescent="0.25">
      <c r="A682" s="9" t="s">
        <v>8</v>
      </c>
      <c r="B682" s="26">
        <v>33001</v>
      </c>
      <c r="C682" s="24" t="s">
        <v>1682</v>
      </c>
      <c r="D682" t="s">
        <v>1683</v>
      </c>
      <c r="E682" s="25">
        <f>57+13/60</f>
        <v>57.216666666666669</v>
      </c>
      <c r="F682" s="25">
        <f>11+34/60</f>
        <v>11.566666666666666</v>
      </c>
      <c r="G682" s="9"/>
      <c r="H682" s="9" t="s">
        <v>150</v>
      </c>
      <c r="I682" s="9" t="s">
        <v>8</v>
      </c>
      <c r="J682" s="7" t="s">
        <v>8</v>
      </c>
      <c r="K682" s="10" t="s">
        <v>951</v>
      </c>
      <c r="L682" s="7" t="s">
        <v>2691</v>
      </c>
      <c r="M682" s="7" t="s">
        <v>717</v>
      </c>
      <c r="N682" s="42" t="s">
        <v>1684</v>
      </c>
      <c r="O682" s="22"/>
      <c r="P682" s="42" t="s">
        <v>160</v>
      </c>
      <c r="S682" s="42" t="s">
        <v>160</v>
      </c>
      <c r="T682" s="19" t="s">
        <v>160</v>
      </c>
      <c r="U682" s="42"/>
      <c r="X682" s="19" t="s">
        <v>160</v>
      </c>
      <c r="Z682" s="19" t="s">
        <v>160</v>
      </c>
      <c r="AL682" s="19" t="s">
        <v>160</v>
      </c>
      <c r="AN682" s="19" t="s">
        <v>160</v>
      </c>
      <c r="AR682" s="19" t="s">
        <v>160</v>
      </c>
      <c r="AT682" s="19" t="s">
        <v>160</v>
      </c>
      <c r="AV682" s="19" t="s">
        <v>160</v>
      </c>
      <c r="BB682" s="19"/>
      <c r="BC682" s="19"/>
      <c r="BD682" s="19"/>
      <c r="BE682" s="19"/>
    </row>
    <row r="683" spans="1:57" x14ac:dyDescent="0.25">
      <c r="A683" s="9" t="s">
        <v>8</v>
      </c>
      <c r="B683" s="26">
        <v>33011</v>
      </c>
      <c r="C683" s="24" t="s">
        <v>988</v>
      </c>
      <c r="D683" t="s">
        <v>989</v>
      </c>
      <c r="E683" s="5">
        <f>57+13/60</f>
        <v>57.216666666666669</v>
      </c>
      <c r="F683" s="5">
        <f>11+34/60</f>
        <v>11.566666666666666</v>
      </c>
      <c r="G683" s="5"/>
      <c r="H683" s="9" t="s">
        <v>150</v>
      </c>
      <c r="I683" s="24" t="s">
        <v>8</v>
      </c>
      <c r="J683" s="24" t="s">
        <v>8</v>
      </c>
      <c r="K683" s="24" t="s">
        <v>951</v>
      </c>
      <c r="L683" s="24" t="s">
        <v>2050</v>
      </c>
      <c r="M683" s="7" t="s">
        <v>717</v>
      </c>
      <c r="N683" s="19">
        <v>2006</v>
      </c>
      <c r="O683" s="22"/>
      <c r="P683" s="19" t="s">
        <v>160</v>
      </c>
      <c r="S683" s="19" t="s">
        <v>160</v>
      </c>
      <c r="T683" s="19" t="s">
        <v>160</v>
      </c>
      <c r="X683" s="19" t="s">
        <v>160</v>
      </c>
      <c r="AN683" s="19" t="s">
        <v>160</v>
      </c>
      <c r="BB683" s="19"/>
      <c r="BC683" s="19"/>
      <c r="BD683" s="19"/>
      <c r="BE683" s="19"/>
    </row>
    <row r="684" spans="1:57" x14ac:dyDescent="0.25">
      <c r="A684" s="9" t="s">
        <v>8</v>
      </c>
      <c r="B684" s="27">
        <v>37135</v>
      </c>
      <c r="C684" s="28" t="s">
        <v>1947</v>
      </c>
      <c r="D684" s="28" t="s">
        <v>1723</v>
      </c>
      <c r="E684" s="25">
        <v>59.783299999999997</v>
      </c>
      <c r="F684" s="25">
        <v>19.166699999999999</v>
      </c>
      <c r="H684" s="9" t="s">
        <v>150</v>
      </c>
      <c r="I684" s="24" t="s">
        <v>8</v>
      </c>
      <c r="J684" s="24" t="s">
        <v>8</v>
      </c>
      <c r="K684" s="6" t="s">
        <v>2455</v>
      </c>
      <c r="L684" s="7" t="s">
        <v>2027</v>
      </c>
      <c r="M684" s="28" t="s">
        <v>717</v>
      </c>
      <c r="N684" s="19" t="s">
        <v>1824</v>
      </c>
      <c r="O684" s="22"/>
      <c r="T684" s="7"/>
      <c r="X684" s="19" t="s">
        <v>160</v>
      </c>
      <c r="BA684" s="7"/>
      <c r="BB684" s="7"/>
      <c r="BC684" s="7"/>
      <c r="BD684" s="7"/>
      <c r="BE684" s="7"/>
    </row>
    <row r="685" spans="1:57" x14ac:dyDescent="0.25">
      <c r="A685" s="9" t="s">
        <v>707</v>
      </c>
      <c r="B685" s="39" t="s">
        <v>406</v>
      </c>
      <c r="C685" s="39" t="s">
        <v>854</v>
      </c>
      <c r="D685" s="40" t="s">
        <v>407</v>
      </c>
      <c r="E685" s="46" t="s">
        <v>409</v>
      </c>
      <c r="F685" s="46" t="s">
        <v>408</v>
      </c>
      <c r="G685" s="40"/>
      <c r="H685" s="9" t="s">
        <v>149</v>
      </c>
      <c r="I685" s="24" t="s">
        <v>169</v>
      </c>
      <c r="J685" s="41" t="s">
        <v>169</v>
      </c>
      <c r="K685" s="40" t="s">
        <v>936</v>
      </c>
      <c r="L685" s="41" t="s">
        <v>2036</v>
      </c>
      <c r="M685" s="7" t="s">
        <v>2653</v>
      </c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  <c r="AN685" s="42"/>
      <c r="AO685" s="42"/>
      <c r="AP685" s="42" t="s">
        <v>160</v>
      </c>
      <c r="AQ685" s="42" t="s">
        <v>160</v>
      </c>
      <c r="AR685" s="42"/>
      <c r="AS685" s="42"/>
      <c r="AZ685" s="42"/>
      <c r="BA685" s="42"/>
      <c r="BB685" s="42"/>
      <c r="BC685" s="42"/>
      <c r="BD685" s="42"/>
      <c r="BE685" s="42"/>
    </row>
    <row r="686" spans="1:57" x14ac:dyDescent="0.25">
      <c r="A686" s="94" t="s">
        <v>2773</v>
      </c>
      <c r="B686" s="109" t="s">
        <v>2954</v>
      </c>
      <c r="C686" s="115" t="s">
        <v>854</v>
      </c>
      <c r="D686" s="153" t="s">
        <v>63</v>
      </c>
      <c r="E686" s="120">
        <f>58+8/60+8/3600</f>
        <v>58.135555555555555</v>
      </c>
      <c r="F686" s="120">
        <f>12+7/60+11/3600</f>
        <v>12.119722222222222</v>
      </c>
      <c r="G686" s="93"/>
      <c r="H686" s="94" t="s">
        <v>149</v>
      </c>
      <c r="I686" s="102" t="s">
        <v>169</v>
      </c>
      <c r="J686" s="102" t="s">
        <v>169</v>
      </c>
      <c r="K686" s="94" t="s">
        <v>936</v>
      </c>
      <c r="L686" s="105" t="s">
        <v>2036</v>
      </c>
      <c r="M686" s="105" t="s">
        <v>2653</v>
      </c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/>
      <c r="AE686" s="108"/>
      <c r="AF686" s="108"/>
      <c r="AG686" s="108"/>
      <c r="AH686" s="108"/>
      <c r="AI686" s="108"/>
      <c r="AJ686" s="108"/>
      <c r="AK686" s="108"/>
      <c r="AL686" s="108"/>
      <c r="AM686" s="108"/>
      <c r="AN686" s="108"/>
      <c r="AO686" s="108"/>
      <c r="AP686" s="108" t="s">
        <v>160</v>
      </c>
      <c r="AQ686" s="108" t="s">
        <v>160</v>
      </c>
      <c r="AR686" s="108"/>
      <c r="AS686" s="108"/>
      <c r="AT686" s="108"/>
      <c r="AU686" s="108"/>
      <c r="AV686" s="108"/>
      <c r="AW686" s="108"/>
      <c r="AX686" s="108"/>
      <c r="AY686" s="108"/>
      <c r="AZ686" s="108"/>
      <c r="BA686" s="108"/>
      <c r="BB686" s="108"/>
      <c r="BC686" s="108"/>
      <c r="BD686" s="108"/>
      <c r="BE686" s="108"/>
    </row>
    <row r="687" spans="1:57" s="94" customFormat="1" x14ac:dyDescent="0.25">
      <c r="A687" s="6" t="s">
        <v>8</v>
      </c>
      <c r="B687" s="23">
        <v>35193</v>
      </c>
      <c r="C687" s="39" t="s">
        <v>854</v>
      </c>
      <c r="D687" s="24" t="s">
        <v>819</v>
      </c>
      <c r="E687" s="5">
        <v>58.135640000000002</v>
      </c>
      <c r="F687" s="5">
        <v>12.119730000000001</v>
      </c>
      <c r="G687" s="5"/>
      <c r="H687" s="9" t="s">
        <v>149</v>
      </c>
      <c r="I687" s="24" t="s">
        <v>169</v>
      </c>
      <c r="J687" s="24" t="s">
        <v>169</v>
      </c>
      <c r="K687" s="24" t="s">
        <v>936</v>
      </c>
      <c r="L687" s="24" t="s">
        <v>2036</v>
      </c>
      <c r="M687" s="7" t="s">
        <v>2653</v>
      </c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 t="s">
        <v>160</v>
      </c>
      <c r="AQ687" s="19" t="s">
        <v>160</v>
      </c>
      <c r="AR687" s="19"/>
      <c r="AS687" s="19"/>
      <c r="AT687" s="19"/>
      <c r="AU687" s="19"/>
      <c r="AV687" s="19"/>
      <c r="AW687" s="19"/>
      <c r="AX687" s="19"/>
      <c r="AY687" s="19"/>
      <c r="AZ687" s="19"/>
      <c r="BA687" s="19"/>
      <c r="BB687" s="19"/>
      <c r="BC687" s="19"/>
      <c r="BD687" s="19"/>
      <c r="BE687" s="19"/>
    </row>
    <row r="688" spans="1:57" x14ac:dyDescent="0.25">
      <c r="A688" s="9" t="s">
        <v>8</v>
      </c>
      <c r="B688" s="69" t="s">
        <v>875</v>
      </c>
      <c r="C688" s="39" t="s">
        <v>854</v>
      </c>
      <c r="D688" t="s">
        <v>63</v>
      </c>
      <c r="E688" s="35">
        <f>58+8/60+8/3600</f>
        <v>58.135555555555555</v>
      </c>
      <c r="F688" s="35">
        <f>12+7/60+11/3600</f>
        <v>12.119722222222222</v>
      </c>
      <c r="G688" s="5"/>
      <c r="H688" s="9" t="s">
        <v>149</v>
      </c>
      <c r="I688" s="24" t="s">
        <v>169</v>
      </c>
      <c r="J688" s="24" t="s">
        <v>169</v>
      </c>
      <c r="K688" s="9" t="s">
        <v>936</v>
      </c>
      <c r="L688" s="7" t="s">
        <v>2036</v>
      </c>
      <c r="M688" s="7" t="s">
        <v>2653</v>
      </c>
      <c r="AP688" s="19" t="s">
        <v>160</v>
      </c>
      <c r="AQ688" s="19" t="s">
        <v>160</v>
      </c>
      <c r="BB688" s="19"/>
      <c r="BC688" s="19"/>
      <c r="BD688" s="19"/>
      <c r="BE688" s="19"/>
    </row>
    <row r="689" spans="1:57" x14ac:dyDescent="0.25">
      <c r="A689" s="9" t="s">
        <v>706</v>
      </c>
      <c r="B689" s="38">
        <v>108</v>
      </c>
      <c r="C689" s="39" t="s">
        <v>854</v>
      </c>
      <c r="D689" s="62" t="s">
        <v>63</v>
      </c>
      <c r="E689" s="3">
        <f>58+8/60+8/3600</f>
        <v>58.135555555555555</v>
      </c>
      <c r="F689" s="3">
        <f>12+7/60+11/3600</f>
        <v>12.119722222222222</v>
      </c>
      <c r="G689" s="5"/>
      <c r="H689" s="9" t="s">
        <v>149</v>
      </c>
      <c r="I689" s="24" t="s">
        <v>169</v>
      </c>
      <c r="J689" s="24" t="s">
        <v>169</v>
      </c>
      <c r="K689" s="9" t="s">
        <v>936</v>
      </c>
      <c r="L689" s="7" t="s">
        <v>2036</v>
      </c>
      <c r="M689" s="7" t="s">
        <v>2653</v>
      </c>
      <c r="AP689" s="19" t="s">
        <v>160</v>
      </c>
      <c r="AQ689" s="19" t="s">
        <v>160</v>
      </c>
      <c r="BB689" s="19"/>
      <c r="BC689" s="19"/>
      <c r="BD689" s="19"/>
      <c r="BE689" s="19"/>
    </row>
    <row r="690" spans="1:57" s="94" customFormat="1" x14ac:dyDescent="0.25">
      <c r="A690" s="9" t="s">
        <v>707</v>
      </c>
      <c r="B690" s="137" t="s">
        <v>410</v>
      </c>
      <c r="C690" s="23" t="s">
        <v>857</v>
      </c>
      <c r="D690" s="40" t="s">
        <v>411</v>
      </c>
      <c r="E690" s="46" t="s">
        <v>2126</v>
      </c>
      <c r="F690" s="46" t="s">
        <v>2127</v>
      </c>
      <c r="G690" s="40"/>
      <c r="H690" s="9" t="s">
        <v>149</v>
      </c>
      <c r="I690" s="24" t="s">
        <v>169</v>
      </c>
      <c r="J690" s="24" t="s">
        <v>169</v>
      </c>
      <c r="K690" s="40" t="s">
        <v>6</v>
      </c>
      <c r="L690" s="41" t="s">
        <v>2030</v>
      </c>
      <c r="M690" s="7" t="s">
        <v>2653</v>
      </c>
      <c r="N690" s="19"/>
      <c r="O690" s="19"/>
      <c r="P690" s="19"/>
      <c r="Q690" s="19"/>
      <c r="R690" s="19"/>
      <c r="S690" s="19"/>
      <c r="T690" s="19"/>
      <c r="U690" s="19"/>
      <c r="V690" s="42" t="s">
        <v>160</v>
      </c>
      <c r="W690" s="42" t="s">
        <v>160</v>
      </c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2"/>
      <c r="AJ690" s="42"/>
      <c r="AK690" s="42"/>
      <c r="AL690" s="42"/>
      <c r="AM690" s="42"/>
      <c r="AN690" s="42"/>
      <c r="AO690" s="42"/>
      <c r="AP690" s="42"/>
      <c r="AQ690" s="42"/>
      <c r="AR690" s="42"/>
      <c r="AS690" s="42"/>
      <c r="AT690" s="19"/>
      <c r="AU690" s="19"/>
      <c r="AV690" s="19"/>
      <c r="AW690" s="19"/>
      <c r="AX690" s="19"/>
      <c r="AY690" s="19"/>
      <c r="AZ690" s="42"/>
      <c r="BA690" s="42"/>
      <c r="BB690" s="42"/>
      <c r="BC690" s="42"/>
      <c r="BD690" s="42"/>
      <c r="BE690" s="42"/>
    </row>
    <row r="691" spans="1:57" x14ac:dyDescent="0.25">
      <c r="A691" s="114" t="s">
        <v>2773</v>
      </c>
      <c r="B691" s="139" t="s">
        <v>2803</v>
      </c>
      <c r="C691" s="110" t="s">
        <v>857</v>
      </c>
      <c r="D691" s="153" t="s">
        <v>64</v>
      </c>
      <c r="E691" s="93">
        <f>58+8/60+10.248/3600</f>
        <v>58.136180000000003</v>
      </c>
      <c r="F691" s="93">
        <f>12+7/60+3.036/3600</f>
        <v>12.117510000000001</v>
      </c>
      <c r="G691" s="93"/>
      <c r="H691" s="94" t="s">
        <v>149</v>
      </c>
      <c r="I691" s="102" t="s">
        <v>169</v>
      </c>
      <c r="J691" s="102" t="s">
        <v>169</v>
      </c>
      <c r="K691" s="102" t="s">
        <v>6</v>
      </c>
      <c r="L691" s="102" t="s">
        <v>2030</v>
      </c>
      <c r="M691" s="105" t="s">
        <v>2653</v>
      </c>
      <c r="N691" s="108"/>
      <c r="O691" s="108"/>
      <c r="P691" s="108"/>
      <c r="Q691" s="108"/>
      <c r="R691" s="108"/>
      <c r="S691" s="108"/>
      <c r="T691" s="108"/>
      <c r="U691" s="108"/>
      <c r="V691" s="108" t="s">
        <v>160</v>
      </c>
      <c r="W691" s="108" t="s">
        <v>160</v>
      </c>
      <c r="X691" s="108"/>
      <c r="Y691" s="108"/>
      <c r="Z691" s="108"/>
      <c r="AA691" s="108"/>
      <c r="AB691" s="108"/>
      <c r="AC691" s="108"/>
      <c r="AD691" s="108"/>
      <c r="AE691" s="108"/>
      <c r="AF691" s="108"/>
      <c r="AG691" s="108"/>
      <c r="AH691" s="108"/>
      <c r="AI691" s="108"/>
      <c r="AJ691" s="108"/>
      <c r="AK691" s="108"/>
      <c r="AL691" s="108"/>
      <c r="AM691" s="108"/>
      <c r="AN691" s="108"/>
      <c r="AO691" s="108"/>
      <c r="AP691" s="108"/>
      <c r="AQ691" s="108"/>
      <c r="AR691" s="108"/>
      <c r="AS691" s="108"/>
      <c r="AT691" s="108"/>
      <c r="AU691" s="108"/>
      <c r="AV691" s="108"/>
      <c r="AW691" s="108"/>
      <c r="AX691" s="108"/>
      <c r="AY691" s="108"/>
      <c r="AZ691" s="108"/>
      <c r="BA691" s="108"/>
      <c r="BB691" s="108"/>
      <c r="BC691" s="108"/>
      <c r="BD691" s="108"/>
      <c r="BE691" s="108"/>
    </row>
    <row r="692" spans="1:57" x14ac:dyDescent="0.25">
      <c r="A692" s="6" t="s">
        <v>8</v>
      </c>
      <c r="B692" s="142" t="s">
        <v>2907</v>
      </c>
      <c r="C692" s="23" t="s">
        <v>857</v>
      </c>
      <c r="D692" s="24" t="s">
        <v>818</v>
      </c>
      <c r="E692" s="5">
        <f>58+8/60+10.248/3600</f>
        <v>58.136180000000003</v>
      </c>
      <c r="F692" s="5">
        <f>12+7/60+3.036/3600</f>
        <v>12.117510000000001</v>
      </c>
      <c r="G692" s="5"/>
      <c r="H692" s="9" t="s">
        <v>149</v>
      </c>
      <c r="I692" s="24" t="s">
        <v>169</v>
      </c>
      <c r="J692" s="24" t="s">
        <v>169</v>
      </c>
      <c r="K692" s="24" t="s">
        <v>6</v>
      </c>
      <c r="L692" s="24" t="s">
        <v>2030</v>
      </c>
      <c r="M692" s="7" t="s">
        <v>2653</v>
      </c>
      <c r="V692" s="19" t="s">
        <v>160</v>
      </c>
      <c r="W692" s="19" t="s">
        <v>160</v>
      </c>
      <c r="BB692" s="19"/>
      <c r="BC692" s="19"/>
      <c r="BD692" s="19"/>
      <c r="BE692" s="19"/>
    </row>
    <row r="693" spans="1:57" x14ac:dyDescent="0.25">
      <c r="A693" s="9" t="s">
        <v>706</v>
      </c>
      <c r="B693" s="140">
        <v>64</v>
      </c>
      <c r="C693" s="23" t="s">
        <v>857</v>
      </c>
      <c r="D693" s="62" t="s">
        <v>64</v>
      </c>
      <c r="E693" s="3">
        <f>58+8/60+10/3600</f>
        <v>58.136111111111113</v>
      </c>
      <c r="F693" s="3">
        <f>12+7/60+3/3600</f>
        <v>12.1175</v>
      </c>
      <c r="G693" s="5"/>
      <c r="H693" s="9" t="s">
        <v>149</v>
      </c>
      <c r="I693" s="24" t="s">
        <v>169</v>
      </c>
      <c r="J693" s="24" t="s">
        <v>169</v>
      </c>
      <c r="K693" s="9" t="s">
        <v>6</v>
      </c>
      <c r="L693" s="7" t="s">
        <v>2030</v>
      </c>
      <c r="M693" s="7" t="s">
        <v>2653</v>
      </c>
      <c r="V693" s="19" t="s">
        <v>160</v>
      </c>
      <c r="W693" s="19" t="s">
        <v>160</v>
      </c>
      <c r="BB693" s="19"/>
      <c r="BC693" s="19"/>
      <c r="BD693" s="19"/>
      <c r="BE693" s="19"/>
    </row>
    <row r="694" spans="1:57" s="94" customFormat="1" x14ac:dyDescent="0.25">
      <c r="A694" s="9" t="s">
        <v>707</v>
      </c>
      <c r="B694" s="137" t="s">
        <v>412</v>
      </c>
      <c r="C694" s="23" t="s">
        <v>859</v>
      </c>
      <c r="D694" s="40" t="s">
        <v>413</v>
      </c>
      <c r="E694" s="46" t="s">
        <v>2128</v>
      </c>
      <c r="F694" s="46" t="s">
        <v>2129</v>
      </c>
      <c r="G694" s="40"/>
      <c r="H694" s="9" t="s">
        <v>148</v>
      </c>
      <c r="I694" s="24" t="s">
        <v>169</v>
      </c>
      <c r="J694" s="24" t="s">
        <v>169</v>
      </c>
      <c r="K694" s="40" t="s">
        <v>6</v>
      </c>
      <c r="L694" s="41" t="s">
        <v>2030</v>
      </c>
      <c r="M694" s="7" t="s">
        <v>2653</v>
      </c>
      <c r="N694" s="19"/>
      <c r="O694" s="19"/>
      <c r="P694" s="19"/>
      <c r="Q694" s="19"/>
      <c r="R694" s="19"/>
      <c r="S694" s="19"/>
      <c r="T694" s="19"/>
      <c r="U694" s="19"/>
      <c r="V694" s="42" t="s">
        <v>160</v>
      </c>
      <c r="W694" s="42" t="s">
        <v>160</v>
      </c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2"/>
      <c r="AJ694" s="42"/>
      <c r="AK694" s="42"/>
      <c r="AL694" s="42"/>
      <c r="AM694" s="42"/>
      <c r="AN694" s="42"/>
      <c r="AO694" s="42"/>
      <c r="AP694" s="42"/>
      <c r="AQ694" s="42"/>
      <c r="AR694" s="42"/>
      <c r="AS694" s="42"/>
      <c r="AT694" s="19"/>
      <c r="AU694" s="19"/>
      <c r="AV694" s="19"/>
      <c r="AW694" s="19"/>
      <c r="AX694" s="19"/>
      <c r="AY694" s="19"/>
      <c r="AZ694" s="42"/>
      <c r="BA694" s="42"/>
      <c r="BB694" s="42"/>
      <c r="BC694" s="42"/>
      <c r="BD694" s="42"/>
      <c r="BE694" s="42"/>
    </row>
    <row r="695" spans="1:57" x14ac:dyDescent="0.25">
      <c r="A695" s="114" t="s">
        <v>2773</v>
      </c>
      <c r="B695" s="139" t="s">
        <v>2804</v>
      </c>
      <c r="C695" s="110" t="s">
        <v>859</v>
      </c>
      <c r="D695" s="153" t="s">
        <v>65</v>
      </c>
      <c r="E695" s="93">
        <f>58+8/60+14.604/3600</f>
        <v>58.137389999999996</v>
      </c>
      <c r="F695" s="93">
        <f>12+7/60+11.784/3600</f>
        <v>12.11994</v>
      </c>
      <c r="G695" s="93"/>
      <c r="H695" s="94" t="s">
        <v>148</v>
      </c>
      <c r="I695" s="102" t="s">
        <v>169</v>
      </c>
      <c r="J695" s="102" t="s">
        <v>169</v>
      </c>
      <c r="K695" s="102" t="s">
        <v>6</v>
      </c>
      <c r="L695" s="102" t="s">
        <v>2030</v>
      </c>
      <c r="M695" s="105" t="s">
        <v>2653</v>
      </c>
      <c r="N695" s="108"/>
      <c r="O695" s="108"/>
      <c r="P695" s="108"/>
      <c r="Q695" s="108"/>
      <c r="R695" s="108"/>
      <c r="S695" s="108"/>
      <c r="T695" s="108"/>
      <c r="U695" s="108"/>
      <c r="V695" s="108" t="s">
        <v>160</v>
      </c>
      <c r="W695" s="108" t="s">
        <v>160</v>
      </c>
      <c r="X695" s="108"/>
      <c r="Y695" s="108"/>
      <c r="Z695" s="108"/>
      <c r="AA695" s="108"/>
      <c r="AB695" s="108"/>
      <c r="AC695" s="108"/>
      <c r="AD695" s="108"/>
      <c r="AE695" s="108"/>
      <c r="AF695" s="108"/>
      <c r="AG695" s="108"/>
      <c r="AH695" s="108"/>
      <c r="AI695" s="108"/>
      <c r="AJ695" s="108"/>
      <c r="AK695" s="108"/>
      <c r="AL695" s="108"/>
      <c r="AM695" s="108"/>
      <c r="AN695" s="108"/>
      <c r="AO695" s="108"/>
      <c r="AP695" s="108"/>
      <c r="AQ695" s="108"/>
      <c r="AR695" s="108"/>
      <c r="AS695" s="108"/>
      <c r="AT695" s="108"/>
      <c r="AU695" s="108"/>
      <c r="AV695" s="108"/>
      <c r="AW695" s="108"/>
      <c r="AX695" s="108"/>
      <c r="AY695" s="108"/>
      <c r="AZ695" s="108"/>
      <c r="BA695" s="108"/>
      <c r="BB695" s="108"/>
      <c r="BC695" s="108"/>
      <c r="BD695" s="108"/>
      <c r="BE695" s="108"/>
    </row>
    <row r="696" spans="1:57" x14ac:dyDescent="0.25">
      <c r="A696" s="6" t="s">
        <v>8</v>
      </c>
      <c r="B696" s="142" t="s">
        <v>2908</v>
      </c>
      <c r="C696" s="23" t="s">
        <v>859</v>
      </c>
      <c r="D696" s="24" t="s">
        <v>820</v>
      </c>
      <c r="E696" s="5">
        <f>58+8/60+14.604/3600</f>
        <v>58.137389999999996</v>
      </c>
      <c r="F696" s="5">
        <f>12+7/60+11.784/3600</f>
        <v>12.11994</v>
      </c>
      <c r="G696" s="5"/>
      <c r="H696" s="9" t="s">
        <v>148</v>
      </c>
      <c r="I696" s="24" t="s">
        <v>169</v>
      </c>
      <c r="J696" s="24" t="s">
        <v>169</v>
      </c>
      <c r="K696" s="24" t="s">
        <v>6</v>
      </c>
      <c r="L696" s="24" t="s">
        <v>2030</v>
      </c>
      <c r="M696" s="7" t="s">
        <v>2653</v>
      </c>
      <c r="V696" s="19" t="s">
        <v>160</v>
      </c>
      <c r="W696" s="19" t="s">
        <v>160</v>
      </c>
      <c r="BB696" s="19"/>
      <c r="BC696" s="19"/>
      <c r="BD696" s="19"/>
      <c r="BE696" s="19"/>
    </row>
    <row r="697" spans="1:57" x14ac:dyDescent="0.25">
      <c r="A697" s="9" t="s">
        <v>706</v>
      </c>
      <c r="B697" s="140">
        <v>65</v>
      </c>
      <c r="C697" s="23" t="s">
        <v>859</v>
      </c>
      <c r="D697" s="62" t="s">
        <v>65</v>
      </c>
      <c r="E697" s="3">
        <f>58+8/60+15/3600</f>
        <v>58.137500000000003</v>
      </c>
      <c r="F697" s="3">
        <f>12+7/60+12/3600</f>
        <v>12.120000000000001</v>
      </c>
      <c r="G697" s="5"/>
      <c r="H697" s="9" t="s">
        <v>148</v>
      </c>
      <c r="I697" s="24" t="s">
        <v>169</v>
      </c>
      <c r="J697" s="24" t="s">
        <v>169</v>
      </c>
      <c r="K697" s="9" t="s">
        <v>6</v>
      </c>
      <c r="L697" s="7" t="s">
        <v>2030</v>
      </c>
      <c r="M697" s="7" t="s">
        <v>2653</v>
      </c>
      <c r="V697" s="19" t="s">
        <v>160</v>
      </c>
      <c r="W697" s="19" t="s">
        <v>160</v>
      </c>
      <c r="BB697" s="19"/>
      <c r="BC697" s="19"/>
      <c r="BD697" s="19"/>
      <c r="BE697" s="19"/>
    </row>
    <row r="698" spans="1:57" s="94" customFormat="1" x14ac:dyDescent="0.25">
      <c r="A698" s="98" t="s">
        <v>2773</v>
      </c>
      <c r="B698" s="135">
        <v>2096</v>
      </c>
      <c r="C698" s="98" t="s">
        <v>1236</v>
      </c>
      <c r="D698" s="98" t="s">
        <v>1236</v>
      </c>
      <c r="E698" s="189">
        <f>55+34/60+48/3600</f>
        <v>55.580000000000005</v>
      </c>
      <c r="F698" s="189">
        <f>12+54/60+36/3600</f>
        <v>12.91</v>
      </c>
      <c r="G698" s="101"/>
      <c r="H698" s="98" t="s">
        <v>150</v>
      </c>
      <c r="I698" s="98" t="s">
        <v>8</v>
      </c>
      <c r="J698" s="102" t="s">
        <v>8</v>
      </c>
      <c r="K698" s="98" t="s">
        <v>6</v>
      </c>
      <c r="L698" s="102" t="s">
        <v>2030</v>
      </c>
      <c r="M698" s="102" t="s">
        <v>717</v>
      </c>
      <c r="N698" s="104" t="s">
        <v>1314</v>
      </c>
      <c r="O698" s="104"/>
      <c r="P698" s="104"/>
      <c r="Q698" s="103" t="s">
        <v>1606</v>
      </c>
      <c r="R698" s="107" t="s">
        <v>1600</v>
      </c>
      <c r="S698" s="103"/>
      <c r="T698" s="103"/>
      <c r="U698" s="104">
        <v>4</v>
      </c>
      <c r="V698" s="103" t="s">
        <v>160</v>
      </c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  <c r="BD698" s="103"/>
      <c r="BE698" s="103"/>
    </row>
    <row r="699" spans="1:57" x14ac:dyDescent="0.25">
      <c r="A699" s="10" t="s">
        <v>8</v>
      </c>
      <c r="B699" s="155">
        <v>2096</v>
      </c>
      <c r="C699" s="10" t="s">
        <v>1236</v>
      </c>
      <c r="D699" s="10" t="s">
        <v>1236</v>
      </c>
      <c r="E699" s="195">
        <v>55.58</v>
      </c>
      <c r="F699" s="195">
        <v>12.91</v>
      </c>
      <c r="G699" s="30"/>
      <c r="H699" s="10" t="s">
        <v>150</v>
      </c>
      <c r="I699" s="10" t="s">
        <v>8</v>
      </c>
      <c r="J699" s="24" t="s">
        <v>8</v>
      </c>
      <c r="K699" s="10" t="s">
        <v>6</v>
      </c>
      <c r="L699" s="24" t="s">
        <v>2030</v>
      </c>
      <c r="M699" s="24" t="s">
        <v>717</v>
      </c>
      <c r="N699" s="22" t="s">
        <v>1314</v>
      </c>
      <c r="O699" s="22"/>
      <c r="P699" s="22"/>
      <c r="Q699" s="20" t="s">
        <v>1606</v>
      </c>
      <c r="R699" s="44" t="s">
        <v>1600</v>
      </c>
      <c r="S699" s="20"/>
      <c r="T699" s="20"/>
      <c r="U699" s="22">
        <v>4</v>
      </c>
      <c r="V699" s="20" t="s">
        <v>160</v>
      </c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  <c r="BE699" s="20"/>
    </row>
    <row r="700" spans="1:57" x14ac:dyDescent="0.25">
      <c r="A700" s="9" t="s">
        <v>707</v>
      </c>
      <c r="B700" s="137" t="s">
        <v>416</v>
      </c>
      <c r="C700" s="23" t="s">
        <v>821</v>
      </c>
      <c r="D700" s="40" t="s">
        <v>417</v>
      </c>
      <c r="E700" s="46" t="s">
        <v>2132</v>
      </c>
      <c r="F700" s="46" t="s">
        <v>2133</v>
      </c>
      <c r="G700" s="40"/>
      <c r="H700" s="9" t="s">
        <v>151</v>
      </c>
      <c r="I700" s="41" t="s">
        <v>169</v>
      </c>
      <c r="J700" s="41" t="s">
        <v>169</v>
      </c>
      <c r="K700" s="40" t="s">
        <v>6</v>
      </c>
      <c r="L700" s="41" t="s">
        <v>2030</v>
      </c>
      <c r="M700" s="7" t="s">
        <v>2653</v>
      </c>
      <c r="V700" s="42" t="s">
        <v>160</v>
      </c>
      <c r="W700" s="42" t="s">
        <v>160</v>
      </c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2"/>
      <c r="AJ700" s="42"/>
      <c r="AK700" s="42"/>
      <c r="AL700" s="42"/>
      <c r="AM700" s="42"/>
      <c r="AN700" s="42"/>
      <c r="AO700" s="42"/>
      <c r="AP700" s="42"/>
      <c r="AQ700" s="42"/>
      <c r="AR700" s="42"/>
      <c r="AS700" s="42"/>
      <c r="AZ700" s="42"/>
      <c r="BA700" s="42"/>
      <c r="BB700" s="42"/>
      <c r="BC700" s="42"/>
      <c r="BD700" s="42"/>
      <c r="BE700" s="42"/>
    </row>
    <row r="701" spans="1:57" x14ac:dyDescent="0.25">
      <c r="A701" s="53" t="s">
        <v>2763</v>
      </c>
      <c r="B701" s="138">
        <v>35155</v>
      </c>
      <c r="C701" s="53" t="s">
        <v>821</v>
      </c>
      <c r="D701" s="53" t="s">
        <v>821</v>
      </c>
      <c r="E701" s="3">
        <v>59.219580000000001</v>
      </c>
      <c r="F701" s="3">
        <v>17.609380000000002</v>
      </c>
      <c r="G701" s="53"/>
      <c r="H701" s="9" t="s">
        <v>151</v>
      </c>
      <c r="I701" s="7" t="s">
        <v>169</v>
      </c>
      <c r="J701" s="53" t="s">
        <v>169</v>
      </c>
      <c r="K701" s="24" t="s">
        <v>6</v>
      </c>
      <c r="L701" s="24" t="s">
        <v>2030</v>
      </c>
      <c r="M701" s="7" t="s">
        <v>2653</v>
      </c>
      <c r="V701" s="19" t="s">
        <v>160</v>
      </c>
      <c r="W701" s="19" t="s">
        <v>160</v>
      </c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BB701" s="53"/>
      <c r="BC701" s="53"/>
      <c r="BD701" s="53"/>
      <c r="BE701" s="53"/>
    </row>
    <row r="702" spans="1:57" s="94" customFormat="1" x14ac:dyDescent="0.25">
      <c r="A702" s="114" t="s">
        <v>2773</v>
      </c>
      <c r="B702" s="139" t="s">
        <v>2956</v>
      </c>
      <c r="C702" s="110" t="s">
        <v>821</v>
      </c>
      <c r="D702" s="153" t="s">
        <v>66</v>
      </c>
      <c r="E702" s="93">
        <f>59+12/60+48.24/3600</f>
        <v>59.2134</v>
      </c>
      <c r="F702" s="93">
        <f>17+36/60+36.72/3600</f>
        <v>17.610200000000003</v>
      </c>
      <c r="G702" s="93"/>
      <c r="H702" s="94" t="s">
        <v>151</v>
      </c>
      <c r="I702" s="102" t="s">
        <v>169</v>
      </c>
      <c r="J702" s="102" t="s">
        <v>169</v>
      </c>
      <c r="K702" s="102" t="s">
        <v>40</v>
      </c>
      <c r="L702" s="102" t="s">
        <v>2051</v>
      </c>
      <c r="M702" s="105" t="s">
        <v>2653</v>
      </c>
      <c r="N702" s="108"/>
      <c r="O702" s="108"/>
      <c r="P702" s="108"/>
      <c r="Q702" s="108"/>
      <c r="R702" s="108"/>
      <c r="S702" s="108"/>
      <c r="T702" s="108"/>
      <c r="U702" s="108"/>
      <c r="V702" s="108" t="s">
        <v>160</v>
      </c>
      <c r="W702" s="108" t="s">
        <v>160</v>
      </c>
      <c r="X702" s="108"/>
      <c r="Y702" s="108"/>
      <c r="Z702" s="108"/>
      <c r="AA702" s="108"/>
      <c r="AB702" s="108"/>
      <c r="AC702" s="108"/>
      <c r="AD702" s="108"/>
      <c r="AE702" s="108"/>
      <c r="AF702" s="108"/>
      <c r="AG702" s="108"/>
      <c r="AH702" s="108"/>
      <c r="AI702" s="108"/>
      <c r="AJ702" s="108"/>
      <c r="AK702" s="108"/>
      <c r="AL702" s="108"/>
      <c r="AM702" s="108"/>
      <c r="AN702" s="108"/>
      <c r="AO702" s="108"/>
      <c r="AP702" s="108"/>
      <c r="AQ702" s="108"/>
      <c r="AR702" s="108"/>
      <c r="AS702" s="108"/>
      <c r="AT702" s="108"/>
      <c r="AU702" s="108"/>
      <c r="AV702" s="108"/>
      <c r="AW702" s="108"/>
      <c r="AX702" s="108"/>
      <c r="AY702" s="108"/>
      <c r="AZ702" s="108" t="s">
        <v>160</v>
      </c>
      <c r="BA702" s="108" t="s">
        <v>160</v>
      </c>
      <c r="BB702" s="108"/>
      <c r="BC702" s="108"/>
      <c r="BD702" s="108"/>
      <c r="BE702" s="108"/>
    </row>
    <row r="703" spans="1:57" x14ac:dyDescent="0.25">
      <c r="A703" s="6" t="s">
        <v>8</v>
      </c>
      <c r="B703" s="142">
        <v>35155</v>
      </c>
      <c r="C703" s="23" t="s">
        <v>821</v>
      </c>
      <c r="D703" s="76" t="s">
        <v>66</v>
      </c>
      <c r="E703" s="200">
        <f>59+12/60+48.24/3600</f>
        <v>59.2134</v>
      </c>
      <c r="F703" s="200">
        <f>17+36/60+36.72/3600</f>
        <v>17.610200000000003</v>
      </c>
      <c r="G703" s="5"/>
      <c r="H703" s="9" t="s">
        <v>151</v>
      </c>
      <c r="I703" s="24" t="s">
        <v>169</v>
      </c>
      <c r="J703" s="24" t="s">
        <v>169</v>
      </c>
      <c r="K703" s="24" t="s">
        <v>40</v>
      </c>
      <c r="L703" s="24" t="s">
        <v>2051</v>
      </c>
      <c r="M703" s="7" t="s">
        <v>2653</v>
      </c>
      <c r="V703" s="19" t="s">
        <v>160</v>
      </c>
      <c r="W703" s="19" t="s">
        <v>160</v>
      </c>
      <c r="AZ703" s="19" t="s">
        <v>160</v>
      </c>
      <c r="BA703" s="19" t="s">
        <v>160</v>
      </c>
      <c r="BB703" s="19"/>
      <c r="BC703" s="19"/>
      <c r="BD703" s="19"/>
      <c r="BE703" s="19"/>
    </row>
    <row r="704" spans="1:57" x14ac:dyDescent="0.25">
      <c r="A704" s="9" t="s">
        <v>706</v>
      </c>
      <c r="B704" s="140">
        <v>54</v>
      </c>
      <c r="C704" s="23" t="s">
        <v>821</v>
      </c>
      <c r="D704" s="62" t="s">
        <v>66</v>
      </c>
      <c r="E704" s="3">
        <f>59+13/60+10/3600</f>
        <v>59.219444444444449</v>
      </c>
      <c r="F704" s="3">
        <f>17+36/60+34/3600</f>
        <v>17.609444444444446</v>
      </c>
      <c r="G704" s="5"/>
      <c r="H704" s="9" t="s">
        <v>151</v>
      </c>
      <c r="I704" s="7" t="s">
        <v>169</v>
      </c>
      <c r="J704" s="7" t="s">
        <v>169</v>
      </c>
      <c r="K704" s="9" t="s">
        <v>6</v>
      </c>
      <c r="L704" s="7" t="s">
        <v>2030</v>
      </c>
      <c r="M704" s="7" t="s">
        <v>2653</v>
      </c>
      <c r="V704" s="19" t="s">
        <v>160</v>
      </c>
      <c r="W704" s="19" t="s">
        <v>160</v>
      </c>
      <c r="BB704" s="19"/>
      <c r="BC704" s="19"/>
      <c r="BD704" s="19"/>
      <c r="BE704" s="19"/>
    </row>
    <row r="705" spans="1:57" s="94" customFormat="1" x14ac:dyDescent="0.25">
      <c r="A705" s="9" t="s">
        <v>707</v>
      </c>
      <c r="B705" s="39" t="s">
        <v>414</v>
      </c>
      <c r="C705" s="23" t="s">
        <v>2768</v>
      </c>
      <c r="D705" s="40" t="s">
        <v>415</v>
      </c>
      <c r="E705" s="46" t="s">
        <v>2130</v>
      </c>
      <c r="F705" s="46" t="s">
        <v>2131</v>
      </c>
      <c r="G705" s="52"/>
      <c r="H705" s="9" t="s">
        <v>151</v>
      </c>
      <c r="I705" s="41" t="s">
        <v>169</v>
      </c>
      <c r="J705" s="41" t="s">
        <v>169</v>
      </c>
      <c r="K705" s="40" t="s">
        <v>5</v>
      </c>
      <c r="L705" s="41" t="s">
        <v>2041</v>
      </c>
      <c r="M705" s="7" t="s">
        <v>2653</v>
      </c>
      <c r="N705" s="19"/>
      <c r="O705" s="19"/>
      <c r="P705" s="19"/>
      <c r="Q705" s="19"/>
      <c r="R705" s="19"/>
      <c r="S705" s="19"/>
      <c r="T705" s="19"/>
      <c r="U705" s="19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  <c r="AL705" s="42"/>
      <c r="AM705" s="42"/>
      <c r="AN705" s="42"/>
      <c r="AO705" s="42"/>
      <c r="AP705" s="42"/>
      <c r="AQ705" s="42"/>
      <c r="AR705" s="42"/>
      <c r="AS705" s="42"/>
      <c r="AT705" s="19"/>
      <c r="AU705" s="19"/>
      <c r="AV705" s="19"/>
      <c r="AW705" s="19"/>
      <c r="AX705" s="19"/>
      <c r="AY705" s="19"/>
      <c r="AZ705" s="42" t="s">
        <v>160</v>
      </c>
      <c r="BA705" s="42" t="s">
        <v>160</v>
      </c>
      <c r="BB705" s="42"/>
      <c r="BC705" s="42"/>
      <c r="BD705" s="42"/>
      <c r="BE705" s="42"/>
    </row>
    <row r="706" spans="1:57" x14ac:dyDescent="0.25">
      <c r="A706" s="94" t="s">
        <v>2773</v>
      </c>
      <c r="B706" s="109" t="s">
        <v>2957</v>
      </c>
      <c r="C706" s="110" t="s">
        <v>2768</v>
      </c>
      <c r="D706" s="153" t="s">
        <v>67</v>
      </c>
      <c r="E706" s="93">
        <f>59+12/60+48.24/3600</f>
        <v>59.2134</v>
      </c>
      <c r="F706" s="93">
        <f>17+36/60+36.72/3600</f>
        <v>17.610200000000003</v>
      </c>
      <c r="G706" s="93"/>
      <c r="H706" s="94" t="s">
        <v>151</v>
      </c>
      <c r="I706" s="105" t="s">
        <v>169</v>
      </c>
      <c r="J706" s="105" t="s">
        <v>169</v>
      </c>
      <c r="K706" s="94" t="s">
        <v>5</v>
      </c>
      <c r="L706" s="105" t="s">
        <v>2041</v>
      </c>
      <c r="M706" s="105" t="s">
        <v>2653</v>
      </c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  <c r="AA706" s="108"/>
      <c r="AB706" s="108"/>
      <c r="AC706" s="108"/>
      <c r="AD706" s="108"/>
      <c r="AE706" s="108"/>
      <c r="AF706" s="108"/>
      <c r="AG706" s="108"/>
      <c r="AH706" s="108"/>
      <c r="AI706" s="108"/>
      <c r="AJ706" s="108"/>
      <c r="AK706" s="108"/>
      <c r="AL706" s="108"/>
      <c r="AM706" s="108"/>
      <c r="AN706" s="108"/>
      <c r="AO706" s="108"/>
      <c r="AP706" s="108"/>
      <c r="AQ706" s="108"/>
      <c r="AR706" s="108"/>
      <c r="AS706" s="108"/>
      <c r="AT706" s="108"/>
      <c r="AU706" s="108"/>
      <c r="AV706" s="108"/>
      <c r="AW706" s="108"/>
      <c r="AX706" s="108"/>
      <c r="AY706" s="108"/>
      <c r="AZ706" s="108" t="s">
        <v>160</v>
      </c>
      <c r="BA706" s="108" t="s">
        <v>160</v>
      </c>
      <c r="BB706" s="108"/>
      <c r="BC706" s="108"/>
      <c r="BD706" s="108"/>
      <c r="BE706" s="108"/>
    </row>
    <row r="707" spans="1:57" x14ac:dyDescent="0.25">
      <c r="A707" s="9" t="s">
        <v>8</v>
      </c>
      <c r="B707" s="69" t="s">
        <v>875</v>
      </c>
      <c r="C707" s="23" t="s">
        <v>2768</v>
      </c>
      <c r="D707" t="s">
        <v>67</v>
      </c>
      <c r="E707" s="5">
        <f>59+12/60+48.24/3600</f>
        <v>59.2134</v>
      </c>
      <c r="F707" s="5">
        <f>17+36/60+36.72/3600</f>
        <v>17.610200000000003</v>
      </c>
      <c r="G707" s="5"/>
      <c r="H707" s="9" t="s">
        <v>151</v>
      </c>
      <c r="I707" s="7" t="s">
        <v>169</v>
      </c>
      <c r="J707" s="7" t="s">
        <v>169</v>
      </c>
      <c r="K707" s="9" t="s">
        <v>5</v>
      </c>
      <c r="L707" s="7" t="s">
        <v>2041</v>
      </c>
      <c r="M707" s="7" t="s">
        <v>2653</v>
      </c>
      <c r="AZ707" s="19" t="s">
        <v>160</v>
      </c>
      <c r="BA707" s="19" t="s">
        <v>160</v>
      </c>
      <c r="BB707" s="19"/>
      <c r="BC707" s="19"/>
      <c r="BD707" s="19"/>
      <c r="BE707" s="19"/>
    </row>
    <row r="708" spans="1:57" x14ac:dyDescent="0.25">
      <c r="A708" s="9" t="s">
        <v>706</v>
      </c>
      <c r="B708" s="38">
        <v>112</v>
      </c>
      <c r="C708" s="23" t="s">
        <v>2768</v>
      </c>
      <c r="D708" s="62" t="s">
        <v>67</v>
      </c>
      <c r="E708" s="3">
        <f>59+12/60+48/3600</f>
        <v>59.213333333333338</v>
      </c>
      <c r="F708" s="3">
        <f>17+36/60+37/3600</f>
        <v>17.610277777777778</v>
      </c>
      <c r="G708" s="5"/>
      <c r="H708" s="9" t="s">
        <v>151</v>
      </c>
      <c r="I708" s="7" t="s">
        <v>169</v>
      </c>
      <c r="J708" s="7" t="s">
        <v>169</v>
      </c>
      <c r="K708" s="9" t="s">
        <v>5</v>
      </c>
      <c r="L708" s="7" t="s">
        <v>2041</v>
      </c>
      <c r="M708" s="7" t="s">
        <v>2653</v>
      </c>
      <c r="AZ708" s="19" t="s">
        <v>160</v>
      </c>
      <c r="BA708" s="19" t="s">
        <v>160</v>
      </c>
      <c r="BB708" s="19"/>
      <c r="BC708" s="19"/>
      <c r="BD708" s="19"/>
      <c r="BE708" s="19"/>
    </row>
    <row r="709" spans="1:57" s="94" customFormat="1" x14ac:dyDescent="0.25">
      <c r="A709" s="98" t="s">
        <v>2773</v>
      </c>
      <c r="B709" s="135">
        <v>2082</v>
      </c>
      <c r="C709" s="98" t="s">
        <v>1227</v>
      </c>
      <c r="D709" s="98" t="s">
        <v>1227</v>
      </c>
      <c r="E709" s="189">
        <f>57+19/60+12/3600</f>
        <v>57.32</v>
      </c>
      <c r="F709" s="189">
        <f>18+42/60+36/3600</f>
        <v>18.71</v>
      </c>
      <c r="G709" s="101"/>
      <c r="H709" s="98" t="s">
        <v>150</v>
      </c>
      <c r="I709" s="98" t="s">
        <v>8</v>
      </c>
      <c r="J709" s="102" t="s">
        <v>8</v>
      </c>
      <c r="K709" s="98" t="s">
        <v>6</v>
      </c>
      <c r="L709" s="102" t="s">
        <v>2030</v>
      </c>
      <c r="M709" s="102" t="s">
        <v>717</v>
      </c>
      <c r="N709" s="104" t="s">
        <v>1304</v>
      </c>
      <c r="O709" s="104"/>
      <c r="P709" s="104"/>
      <c r="Q709" s="103" t="s">
        <v>1665</v>
      </c>
      <c r="R709" s="103"/>
      <c r="S709" s="103"/>
      <c r="T709" s="103"/>
      <c r="U709" s="104">
        <v>4</v>
      </c>
      <c r="V709" s="103" t="s">
        <v>160</v>
      </c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  <c r="BD709" s="103"/>
      <c r="BE709" s="103"/>
    </row>
    <row r="710" spans="1:57" x14ac:dyDescent="0.25">
      <c r="A710" s="10" t="s">
        <v>8</v>
      </c>
      <c r="B710" s="155">
        <v>2082</v>
      </c>
      <c r="C710" s="10" t="s">
        <v>1227</v>
      </c>
      <c r="D710" s="10" t="s">
        <v>1227</v>
      </c>
      <c r="E710" s="193">
        <v>57.323099999999997</v>
      </c>
      <c r="F710" s="193">
        <v>18.7148</v>
      </c>
      <c r="G710" s="30"/>
      <c r="H710" s="10" t="s">
        <v>150</v>
      </c>
      <c r="I710" s="10" t="s">
        <v>8</v>
      </c>
      <c r="J710" s="24" t="s">
        <v>8</v>
      </c>
      <c r="K710" s="10" t="s">
        <v>6</v>
      </c>
      <c r="L710" s="24" t="s">
        <v>2030</v>
      </c>
      <c r="M710" s="24" t="s">
        <v>717</v>
      </c>
      <c r="N710" s="22" t="s">
        <v>1304</v>
      </c>
      <c r="O710" s="22"/>
      <c r="P710" s="22"/>
      <c r="Q710" s="20" t="s">
        <v>1665</v>
      </c>
      <c r="R710" s="20"/>
      <c r="S710" s="20"/>
      <c r="T710" s="20"/>
      <c r="U710" s="22">
        <v>4</v>
      </c>
      <c r="V710" s="20" t="s">
        <v>160</v>
      </c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  <c r="BC710" s="20"/>
      <c r="BD710" s="20"/>
      <c r="BE710" s="20"/>
    </row>
    <row r="711" spans="1:57" x14ac:dyDescent="0.25">
      <c r="A711" s="6" t="s">
        <v>8</v>
      </c>
      <c r="B711" s="9">
        <v>81130</v>
      </c>
      <c r="C711" s="9" t="s">
        <v>2454</v>
      </c>
      <c r="D711" s="9" t="s">
        <v>1446</v>
      </c>
      <c r="E711" s="3">
        <v>58.215899999999998</v>
      </c>
      <c r="F711" s="3">
        <v>11.9321</v>
      </c>
      <c r="G711" s="9">
        <v>70</v>
      </c>
      <c r="H711" s="9" t="s">
        <v>150</v>
      </c>
      <c r="I711" s="6" t="s">
        <v>8</v>
      </c>
      <c r="J711" s="21" t="s">
        <v>8</v>
      </c>
      <c r="K711" s="3" t="s">
        <v>5</v>
      </c>
      <c r="L711" s="5" t="s">
        <v>2681</v>
      </c>
      <c r="M711" s="7" t="s">
        <v>717</v>
      </c>
      <c r="N711" s="19" t="s">
        <v>1865</v>
      </c>
      <c r="O711" s="22"/>
      <c r="P711" s="19" t="s">
        <v>160</v>
      </c>
      <c r="AR711" s="19" t="s">
        <v>160</v>
      </c>
      <c r="AT711" s="19" t="s">
        <v>160</v>
      </c>
      <c r="AX711" s="19" t="s">
        <v>160</v>
      </c>
      <c r="AZ711" s="19" t="s">
        <v>160</v>
      </c>
      <c r="BB711" s="19"/>
      <c r="BC711" s="19"/>
      <c r="BD711" s="19"/>
      <c r="BE711" s="19"/>
    </row>
    <row r="712" spans="1:57" x14ac:dyDescent="0.25">
      <c r="A712" s="9" t="s">
        <v>707</v>
      </c>
      <c r="B712" s="39" t="s">
        <v>418</v>
      </c>
      <c r="C712" s="23" t="s">
        <v>2643</v>
      </c>
      <c r="D712" s="40" t="s">
        <v>2635</v>
      </c>
      <c r="E712" s="46" t="s">
        <v>2134</v>
      </c>
      <c r="F712" s="46" t="s">
        <v>2135</v>
      </c>
      <c r="G712" s="40"/>
      <c r="H712" s="9" t="s">
        <v>150</v>
      </c>
      <c r="I712" s="41" t="s">
        <v>169</v>
      </c>
      <c r="J712" s="41" t="s">
        <v>169</v>
      </c>
      <c r="K712" s="40" t="s">
        <v>5</v>
      </c>
      <c r="L712" s="41" t="s">
        <v>2043</v>
      </c>
      <c r="M712" s="7" t="s">
        <v>2653</v>
      </c>
      <c r="N712" s="19" t="s">
        <v>1108</v>
      </c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  <c r="AN712" s="42"/>
      <c r="AO712" s="42"/>
      <c r="AP712" s="42"/>
      <c r="AQ712" s="42"/>
      <c r="AR712" s="42" t="s">
        <v>160</v>
      </c>
      <c r="AS712" s="42" t="s">
        <v>160</v>
      </c>
      <c r="AZ712" s="42"/>
      <c r="BA712" s="42"/>
      <c r="BB712" s="42"/>
      <c r="BC712" s="42"/>
      <c r="BD712" s="42"/>
      <c r="BE712" s="42"/>
    </row>
    <row r="713" spans="1:57" x14ac:dyDescent="0.25">
      <c r="A713" s="9" t="s">
        <v>707</v>
      </c>
      <c r="B713" s="137" t="s">
        <v>419</v>
      </c>
      <c r="C713" s="23" t="s">
        <v>2643</v>
      </c>
      <c r="D713" s="40" t="s">
        <v>420</v>
      </c>
      <c r="E713" s="57" t="s">
        <v>2136</v>
      </c>
      <c r="F713" s="57" t="s">
        <v>2137</v>
      </c>
      <c r="G713" s="40"/>
      <c r="H713" s="9" t="s">
        <v>150</v>
      </c>
      <c r="I713" s="41" t="s">
        <v>169</v>
      </c>
      <c r="J713" s="41" t="s">
        <v>169</v>
      </c>
      <c r="K713" s="40" t="s">
        <v>6</v>
      </c>
      <c r="L713" s="41" t="s">
        <v>2030</v>
      </c>
      <c r="M713" s="7" t="s">
        <v>2653</v>
      </c>
      <c r="N713" s="42" t="s">
        <v>1108</v>
      </c>
      <c r="O713" s="42" t="s">
        <v>160</v>
      </c>
      <c r="P713" s="42" t="s">
        <v>160</v>
      </c>
      <c r="Q713" s="44" t="s">
        <v>1194</v>
      </c>
      <c r="S713" s="19" t="s">
        <v>160</v>
      </c>
      <c r="T713" s="19" t="s">
        <v>160</v>
      </c>
      <c r="U713" s="19">
        <v>2</v>
      </c>
      <c r="V713" s="42" t="s">
        <v>160</v>
      </c>
      <c r="W713" s="42" t="s">
        <v>160</v>
      </c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  <c r="AN713" s="42"/>
      <c r="AO713" s="42"/>
      <c r="AP713" s="42"/>
      <c r="AQ713" s="42"/>
      <c r="AR713" s="42"/>
      <c r="AS713" s="42"/>
      <c r="AZ713" s="42"/>
      <c r="BA713" s="42"/>
      <c r="BB713" s="42"/>
      <c r="BC713" s="42"/>
      <c r="BD713" s="42"/>
      <c r="BE713" s="42"/>
    </row>
    <row r="714" spans="1:57" x14ac:dyDescent="0.25">
      <c r="A714" s="53" t="s">
        <v>2763</v>
      </c>
      <c r="B714" s="138">
        <v>35127</v>
      </c>
      <c r="C714" s="53" t="s">
        <v>2643</v>
      </c>
      <c r="D714" s="53" t="s">
        <v>2636</v>
      </c>
      <c r="E714" s="46">
        <f>61+12/60+25/3600</f>
        <v>61.206944444444446</v>
      </c>
      <c r="F714" s="46">
        <f>17+8/60+44.06/3600</f>
        <v>17.145572222222221</v>
      </c>
      <c r="G714" s="53">
        <v>1.63</v>
      </c>
      <c r="H714" s="9" t="s">
        <v>150</v>
      </c>
      <c r="I714" s="7" t="s">
        <v>169</v>
      </c>
      <c r="J714" s="53" t="s">
        <v>169</v>
      </c>
      <c r="K714" s="7" t="s">
        <v>6</v>
      </c>
      <c r="L714" s="7" t="s">
        <v>2030</v>
      </c>
      <c r="M714" s="7" t="s">
        <v>2653</v>
      </c>
      <c r="N714" s="42" t="s">
        <v>1108</v>
      </c>
      <c r="O714" s="42" t="s">
        <v>160</v>
      </c>
      <c r="P714" s="42" t="s">
        <v>160</v>
      </c>
      <c r="Q714" s="44" t="s">
        <v>1194</v>
      </c>
      <c r="S714" s="19" t="s">
        <v>160</v>
      </c>
      <c r="T714" s="19" t="s">
        <v>160</v>
      </c>
      <c r="U714" s="42">
        <v>2</v>
      </c>
      <c r="V714" s="20" t="s">
        <v>160</v>
      </c>
      <c r="W714" s="20" t="s">
        <v>160</v>
      </c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94" customFormat="1" x14ac:dyDescent="0.25">
      <c r="A715" s="105" t="s">
        <v>2773</v>
      </c>
      <c r="B715" s="139" t="s">
        <v>3039</v>
      </c>
      <c r="C715" s="110" t="s">
        <v>2643</v>
      </c>
      <c r="D715" s="153" t="s">
        <v>2636</v>
      </c>
      <c r="E715" s="165">
        <f>61+12/60+25.002/3600</f>
        <v>61.206945000000005</v>
      </c>
      <c r="F715" s="165">
        <f>17+8/60+44.0808/3600</f>
        <v>17.145578</v>
      </c>
      <c r="G715" s="87">
        <v>1.63</v>
      </c>
      <c r="H715" s="105" t="s">
        <v>150</v>
      </c>
      <c r="I715" s="105" t="s">
        <v>169</v>
      </c>
      <c r="J715" s="105" t="s">
        <v>169</v>
      </c>
      <c r="K715" s="105" t="s">
        <v>40</v>
      </c>
      <c r="L715" s="105" t="s">
        <v>2054</v>
      </c>
      <c r="M715" s="105" t="s">
        <v>2653</v>
      </c>
      <c r="N715" s="106" t="s">
        <v>1108</v>
      </c>
      <c r="O715" s="106" t="s">
        <v>160</v>
      </c>
      <c r="P715" s="106" t="s">
        <v>160</v>
      </c>
      <c r="Q715" s="107" t="s">
        <v>1194</v>
      </c>
      <c r="R715" s="108"/>
      <c r="S715" s="108" t="s">
        <v>160</v>
      </c>
      <c r="T715" s="108" t="s">
        <v>160</v>
      </c>
      <c r="U715" s="106">
        <v>2</v>
      </c>
      <c r="V715" s="103" t="s">
        <v>160</v>
      </c>
      <c r="W715" s="103" t="s">
        <v>160</v>
      </c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 t="s">
        <v>160</v>
      </c>
      <c r="AS715" s="103" t="s">
        <v>160</v>
      </c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  <c r="BD715" s="103"/>
      <c r="BE715" s="103"/>
    </row>
    <row r="716" spans="1:57" x14ac:dyDescent="0.25">
      <c r="A716" s="9" t="s">
        <v>706</v>
      </c>
      <c r="B716" s="140">
        <v>189</v>
      </c>
      <c r="C716" s="23" t="s">
        <v>2643</v>
      </c>
      <c r="D716" s="62" t="s">
        <v>2636</v>
      </c>
      <c r="E716" s="181">
        <v>61.206800000000001</v>
      </c>
      <c r="F716" s="181">
        <v>17.145199999999999</v>
      </c>
      <c r="H716" s="9" t="s">
        <v>150</v>
      </c>
      <c r="I716" s="7" t="s">
        <v>169</v>
      </c>
      <c r="J716" s="7" t="s">
        <v>169</v>
      </c>
      <c r="K716" s="9" t="s">
        <v>40</v>
      </c>
      <c r="L716" s="7" t="s">
        <v>2054</v>
      </c>
      <c r="M716" s="7" t="s">
        <v>2653</v>
      </c>
      <c r="N716" s="42" t="s">
        <v>1108</v>
      </c>
      <c r="O716" s="42" t="s">
        <v>160</v>
      </c>
      <c r="P716" s="42" t="s">
        <v>160</v>
      </c>
      <c r="Q716" s="44" t="s">
        <v>1194</v>
      </c>
      <c r="S716" s="19" t="s">
        <v>160</v>
      </c>
      <c r="T716" s="19" t="s">
        <v>160</v>
      </c>
      <c r="U716" s="19">
        <v>2</v>
      </c>
      <c r="V716" s="19" t="s">
        <v>160</v>
      </c>
      <c r="W716" s="19" t="s">
        <v>160</v>
      </c>
      <c r="AR716" s="19" t="s">
        <v>160</v>
      </c>
      <c r="AS716" s="19" t="s">
        <v>160</v>
      </c>
      <c r="BB716" s="19"/>
      <c r="BC716" s="19"/>
      <c r="BD716" s="19"/>
      <c r="BE716" s="19"/>
    </row>
    <row r="717" spans="1:57" x14ac:dyDescent="0.25">
      <c r="A717" s="9" t="s">
        <v>706</v>
      </c>
      <c r="B717" s="56">
        <v>66</v>
      </c>
      <c r="C717" s="23" t="s">
        <v>2644</v>
      </c>
      <c r="D717" t="s">
        <v>745</v>
      </c>
      <c r="E717" s="3">
        <v>61.211111000000002</v>
      </c>
      <c r="F717" s="3">
        <v>17.164166999999999</v>
      </c>
      <c r="H717" s="9" t="s">
        <v>150</v>
      </c>
      <c r="I717" s="9" t="s">
        <v>169</v>
      </c>
      <c r="J717" s="7" t="s">
        <v>169</v>
      </c>
      <c r="K717" s="9" t="s">
        <v>5</v>
      </c>
      <c r="L717" s="7" t="s">
        <v>2043</v>
      </c>
      <c r="M717" s="7" t="s">
        <v>717</v>
      </c>
      <c r="N717" s="42" t="s">
        <v>1116</v>
      </c>
      <c r="O717" s="42"/>
      <c r="P717" s="42"/>
      <c r="Q717" s="71"/>
      <c r="AR717" s="19" t="s">
        <v>160</v>
      </c>
      <c r="BB717" s="19"/>
      <c r="BC717" s="19"/>
      <c r="BD717" s="19"/>
      <c r="BE717" s="19"/>
    </row>
    <row r="718" spans="1:57" x14ac:dyDescent="0.25">
      <c r="A718" s="6" t="s">
        <v>8</v>
      </c>
      <c r="B718" s="9">
        <v>127140</v>
      </c>
      <c r="C718" s="9" t="s">
        <v>2376</v>
      </c>
      <c r="D718" s="9" t="s">
        <v>2377</v>
      </c>
      <c r="E718" s="3">
        <v>62.231400000000001</v>
      </c>
      <c r="F718" s="3">
        <v>17.662299999999998</v>
      </c>
      <c r="G718" s="9">
        <v>2</v>
      </c>
      <c r="H718" s="9" t="s">
        <v>150</v>
      </c>
      <c r="I718" s="6" t="s">
        <v>8</v>
      </c>
      <c r="J718" s="21" t="s">
        <v>8</v>
      </c>
      <c r="K718" s="3" t="s">
        <v>5</v>
      </c>
      <c r="L718" s="5" t="s">
        <v>2680</v>
      </c>
      <c r="M718" s="7" t="s">
        <v>717</v>
      </c>
      <c r="N718" s="19" t="s">
        <v>1116</v>
      </c>
      <c r="O718" s="22"/>
      <c r="P718" s="19" t="s">
        <v>160</v>
      </c>
      <c r="AR718" s="19" t="s">
        <v>160</v>
      </c>
      <c r="AT718" s="19" t="s">
        <v>160</v>
      </c>
      <c r="AV718" s="19" t="s">
        <v>160</v>
      </c>
      <c r="AX718" s="19" t="s">
        <v>160</v>
      </c>
      <c r="AZ718" s="19" t="s">
        <v>160</v>
      </c>
      <c r="BB718" s="19"/>
      <c r="BC718" s="19"/>
      <c r="BD718" s="19"/>
      <c r="BE718" s="19"/>
    </row>
    <row r="719" spans="1:57" s="94" customFormat="1" x14ac:dyDescent="0.25">
      <c r="A719" s="114" t="s">
        <v>2773</v>
      </c>
      <c r="B719" s="139" t="s">
        <v>2839</v>
      </c>
      <c r="C719" s="110" t="s">
        <v>798</v>
      </c>
      <c r="D719" s="102" t="s">
        <v>798</v>
      </c>
      <c r="E719" s="190">
        <f>59+20/60+27.06/3600</f>
        <v>59.340850000000003</v>
      </c>
      <c r="F719" s="190">
        <f>18+8/60+16.62/3600</f>
        <v>18.13795</v>
      </c>
      <c r="G719" s="93"/>
      <c r="H719" s="94" t="s">
        <v>150</v>
      </c>
      <c r="I719" s="102" t="s">
        <v>169</v>
      </c>
      <c r="J719" s="102" t="s">
        <v>169</v>
      </c>
      <c r="K719" s="102" t="s">
        <v>6</v>
      </c>
      <c r="L719" s="102" t="s">
        <v>2030</v>
      </c>
      <c r="M719" s="105" t="s">
        <v>717</v>
      </c>
      <c r="N719" s="108" t="s">
        <v>1116</v>
      </c>
      <c r="O719" s="106" t="s">
        <v>160</v>
      </c>
      <c r="P719" s="106" t="s">
        <v>160</v>
      </c>
      <c r="Q719" s="108" t="s">
        <v>1165</v>
      </c>
      <c r="R719" s="108"/>
      <c r="S719" s="108" t="s">
        <v>160</v>
      </c>
      <c r="T719" s="108" t="s">
        <v>160</v>
      </c>
      <c r="U719" s="108">
        <v>4</v>
      </c>
      <c r="V719" s="108" t="s">
        <v>160</v>
      </c>
      <c r="W719" s="108"/>
      <c r="X719" s="108"/>
      <c r="Y719" s="108"/>
      <c r="Z719" s="108"/>
      <c r="AA719" s="108"/>
      <c r="AB719" s="108"/>
      <c r="AC719" s="108"/>
      <c r="AD719" s="108"/>
      <c r="AE719" s="108"/>
      <c r="AF719" s="108"/>
      <c r="AG719" s="108"/>
      <c r="AH719" s="108"/>
      <c r="AI719" s="108"/>
      <c r="AJ719" s="108"/>
      <c r="AK719" s="108"/>
      <c r="AL719" s="108"/>
      <c r="AM719" s="108"/>
      <c r="AN719" s="108"/>
      <c r="AO719" s="108"/>
      <c r="AP719" s="108"/>
      <c r="AQ719" s="108"/>
      <c r="AR719" s="108"/>
      <c r="AS719" s="108"/>
      <c r="AT719" s="108"/>
      <c r="AU719" s="108"/>
      <c r="AV719" s="108"/>
      <c r="AW719" s="108"/>
      <c r="AX719" s="108"/>
      <c r="AY719" s="108"/>
      <c r="AZ719" s="108"/>
      <c r="BA719" s="108"/>
      <c r="BB719" s="108"/>
      <c r="BC719" s="108"/>
      <c r="BD719" s="108"/>
      <c r="BE719" s="108"/>
    </row>
    <row r="720" spans="1:57" x14ac:dyDescent="0.25">
      <c r="A720" s="6" t="s">
        <v>8</v>
      </c>
      <c r="B720" s="142" t="s">
        <v>2909</v>
      </c>
      <c r="C720" s="23" t="s">
        <v>798</v>
      </c>
      <c r="D720" s="24" t="s">
        <v>798</v>
      </c>
      <c r="E720" s="193">
        <v>59.340899999999998</v>
      </c>
      <c r="F720" s="193">
        <v>18.138000000000002</v>
      </c>
      <c r="G720" s="5"/>
      <c r="H720" s="9" t="s">
        <v>150</v>
      </c>
      <c r="I720" s="24" t="s">
        <v>169</v>
      </c>
      <c r="J720" s="24" t="s">
        <v>169</v>
      </c>
      <c r="K720" s="24" t="s">
        <v>6</v>
      </c>
      <c r="L720" s="24" t="s">
        <v>2030</v>
      </c>
      <c r="M720" s="7" t="s">
        <v>717</v>
      </c>
      <c r="N720" s="19" t="s">
        <v>1116</v>
      </c>
      <c r="O720" s="42" t="s">
        <v>160</v>
      </c>
      <c r="P720" s="42" t="s">
        <v>160</v>
      </c>
      <c r="Q720" s="19" t="s">
        <v>1165</v>
      </c>
      <c r="S720" s="19" t="s">
        <v>160</v>
      </c>
      <c r="T720" s="19" t="s">
        <v>160</v>
      </c>
      <c r="U720" s="19">
        <v>4</v>
      </c>
      <c r="V720" s="19" t="s">
        <v>160</v>
      </c>
      <c r="BB720" s="19"/>
      <c r="BC720" s="19"/>
      <c r="BD720" s="19"/>
      <c r="BE720" s="19"/>
    </row>
    <row r="721" spans="1:57" x14ac:dyDescent="0.25">
      <c r="A721" s="9" t="s">
        <v>706</v>
      </c>
      <c r="B721" s="144">
        <v>67</v>
      </c>
      <c r="C721" s="23" t="s">
        <v>798</v>
      </c>
      <c r="D721" s="173" t="s">
        <v>68</v>
      </c>
      <c r="E721" s="5">
        <f>59+20/60+33/3600</f>
        <v>59.342500000000001</v>
      </c>
      <c r="F721" s="5">
        <f>18+8/60+28.8/3600</f>
        <v>18.141333333333332</v>
      </c>
      <c r="H721" s="9" t="s">
        <v>150</v>
      </c>
      <c r="I721" s="9" t="s">
        <v>169</v>
      </c>
      <c r="J721" s="7" t="s">
        <v>169</v>
      </c>
      <c r="K721" s="9" t="s">
        <v>6</v>
      </c>
      <c r="L721" s="7" t="s">
        <v>2030</v>
      </c>
      <c r="M721" s="7" t="s">
        <v>717</v>
      </c>
      <c r="N721" s="19" t="s">
        <v>1116</v>
      </c>
      <c r="O721" s="42" t="s">
        <v>160</v>
      </c>
      <c r="P721" s="42" t="s">
        <v>160</v>
      </c>
      <c r="Q721" s="19" t="s">
        <v>1165</v>
      </c>
      <c r="S721" s="19" t="s">
        <v>160</v>
      </c>
      <c r="T721" s="19" t="s">
        <v>160</v>
      </c>
      <c r="U721" s="19">
        <v>4</v>
      </c>
      <c r="V721" s="19" t="s">
        <v>160</v>
      </c>
      <c r="BB721" s="19"/>
      <c r="BC721" s="19"/>
      <c r="BD721" s="19"/>
      <c r="BE721" s="19"/>
    </row>
    <row r="722" spans="1:57" s="94" customFormat="1" x14ac:dyDescent="0.25">
      <c r="A722" s="98" t="s">
        <v>2773</v>
      </c>
      <c r="B722" s="135">
        <v>2054</v>
      </c>
      <c r="C722" s="98" t="s">
        <v>1250</v>
      </c>
      <c r="D722" s="98" t="s">
        <v>1207</v>
      </c>
      <c r="E722" s="189">
        <f>65+33/60</f>
        <v>65.55</v>
      </c>
      <c r="F722" s="189">
        <f>22+12/60+36/3600</f>
        <v>22.21</v>
      </c>
      <c r="G722" s="101"/>
      <c r="H722" s="98" t="s">
        <v>150</v>
      </c>
      <c r="I722" s="98" t="s">
        <v>8</v>
      </c>
      <c r="J722" s="102" t="s">
        <v>8</v>
      </c>
      <c r="K722" s="98" t="s">
        <v>6</v>
      </c>
      <c r="L722" s="102" t="s">
        <v>2030</v>
      </c>
      <c r="M722" s="102" t="s">
        <v>717</v>
      </c>
      <c r="N722" s="104" t="s">
        <v>1280</v>
      </c>
      <c r="O722" s="104"/>
      <c r="P722" s="104"/>
      <c r="Q722" s="103" t="s">
        <v>1664</v>
      </c>
      <c r="R722" s="103"/>
      <c r="S722" s="103"/>
      <c r="T722" s="103"/>
      <c r="U722" s="104">
        <v>4</v>
      </c>
      <c r="V722" s="103" t="s">
        <v>160</v>
      </c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  <c r="BD722" s="103"/>
      <c r="BE722" s="103"/>
    </row>
    <row r="723" spans="1:57" x14ac:dyDescent="0.25">
      <c r="A723" s="10" t="s">
        <v>8</v>
      </c>
      <c r="B723" s="155">
        <v>2054</v>
      </c>
      <c r="C723" s="10" t="s">
        <v>1250</v>
      </c>
      <c r="D723" s="10" t="s">
        <v>1207</v>
      </c>
      <c r="E723" s="195">
        <v>65.55</v>
      </c>
      <c r="F723" s="195">
        <v>22.21</v>
      </c>
      <c r="G723" s="30"/>
      <c r="H723" s="10" t="s">
        <v>150</v>
      </c>
      <c r="I723" s="10" t="s">
        <v>8</v>
      </c>
      <c r="J723" s="24" t="s">
        <v>8</v>
      </c>
      <c r="K723" s="10" t="s">
        <v>6</v>
      </c>
      <c r="L723" s="24" t="s">
        <v>2030</v>
      </c>
      <c r="M723" s="24" t="s">
        <v>717</v>
      </c>
      <c r="N723" s="22" t="s">
        <v>1280</v>
      </c>
      <c r="O723" s="22"/>
      <c r="P723" s="22"/>
      <c r="Q723" s="20" t="s">
        <v>1664</v>
      </c>
      <c r="R723" s="20"/>
      <c r="S723" s="20"/>
      <c r="T723" s="20"/>
      <c r="U723" s="22">
        <v>4</v>
      </c>
      <c r="V723" s="20" t="s">
        <v>160</v>
      </c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  <c r="BE723" s="20"/>
    </row>
    <row r="724" spans="1:57" x14ac:dyDescent="0.25">
      <c r="A724" s="6" t="s">
        <v>8</v>
      </c>
      <c r="B724" s="9">
        <v>162870</v>
      </c>
      <c r="C724" s="9" t="s">
        <v>1447</v>
      </c>
      <c r="D724" s="9" t="s">
        <v>1448</v>
      </c>
      <c r="E724" s="3">
        <v>65.574600000000004</v>
      </c>
      <c r="F724" s="3">
        <v>22.11</v>
      </c>
      <c r="G724" s="9">
        <v>12.156000000000001</v>
      </c>
      <c r="H724" s="3" t="s">
        <v>150</v>
      </c>
      <c r="I724" s="21" t="s">
        <v>8</v>
      </c>
      <c r="J724" s="21" t="s">
        <v>8</v>
      </c>
      <c r="K724" s="3" t="s">
        <v>5</v>
      </c>
      <c r="L724" s="5" t="s">
        <v>2028</v>
      </c>
      <c r="M724" s="5" t="s">
        <v>2653</v>
      </c>
      <c r="N724" s="19" t="s">
        <v>2570</v>
      </c>
      <c r="O724" s="22"/>
      <c r="P724" s="19" t="s">
        <v>160</v>
      </c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19" t="s">
        <v>160</v>
      </c>
      <c r="AU724" s="19" t="s">
        <v>160</v>
      </c>
      <c r="BB724" s="19"/>
      <c r="BC724" s="19"/>
      <c r="BD724" s="19"/>
      <c r="BE724" s="19"/>
    </row>
    <row r="725" spans="1:57" x14ac:dyDescent="0.25">
      <c r="A725" s="6" t="s">
        <v>8</v>
      </c>
      <c r="B725" s="9">
        <v>162860</v>
      </c>
      <c r="C725" s="9" t="s">
        <v>2447</v>
      </c>
      <c r="D725" s="9" t="s">
        <v>1449</v>
      </c>
      <c r="E725" s="3">
        <v>65.543000000000006</v>
      </c>
      <c r="F725" s="3">
        <v>22.123999999999999</v>
      </c>
      <c r="G725" s="9">
        <v>19.899999999999999</v>
      </c>
      <c r="H725" s="9" t="s">
        <v>150</v>
      </c>
      <c r="I725" s="21" t="s">
        <v>8</v>
      </c>
      <c r="J725" s="21" t="s">
        <v>8</v>
      </c>
      <c r="K725" s="3" t="s">
        <v>5</v>
      </c>
      <c r="L725" s="5" t="s">
        <v>2680</v>
      </c>
      <c r="M725" s="7" t="s">
        <v>2653</v>
      </c>
      <c r="N725" s="19" t="s">
        <v>2502</v>
      </c>
      <c r="O725" s="22"/>
      <c r="P725" s="19" t="s">
        <v>160</v>
      </c>
      <c r="AR725" s="19" t="s">
        <v>160</v>
      </c>
      <c r="AS725" s="19" t="s">
        <v>160</v>
      </c>
      <c r="AT725" s="19" t="s">
        <v>160</v>
      </c>
      <c r="AU725" s="19" t="s">
        <v>160</v>
      </c>
      <c r="AV725" s="19" t="s">
        <v>160</v>
      </c>
      <c r="AW725" s="19" t="s">
        <v>160</v>
      </c>
      <c r="AX725" s="19" t="s">
        <v>160</v>
      </c>
      <c r="AY725" s="19" t="s">
        <v>160</v>
      </c>
      <c r="AZ725" s="19" t="s">
        <v>160</v>
      </c>
      <c r="BA725" s="19" t="s">
        <v>160</v>
      </c>
      <c r="BB725" s="19"/>
      <c r="BC725" s="19"/>
      <c r="BD725" s="19"/>
      <c r="BE725" s="19"/>
    </row>
    <row r="726" spans="1:57" x14ac:dyDescent="0.25">
      <c r="A726" s="9" t="s">
        <v>707</v>
      </c>
      <c r="B726" s="137" t="s">
        <v>423</v>
      </c>
      <c r="C726" s="23" t="s">
        <v>743</v>
      </c>
      <c r="D726" s="40" t="s">
        <v>424</v>
      </c>
      <c r="E726" s="46" t="s">
        <v>426</v>
      </c>
      <c r="F726" s="46" t="s">
        <v>425</v>
      </c>
      <c r="G726" s="40"/>
      <c r="H726" s="9" t="s">
        <v>150</v>
      </c>
      <c r="I726" s="41" t="s">
        <v>169</v>
      </c>
      <c r="J726" s="41" t="s">
        <v>169</v>
      </c>
      <c r="K726" s="40" t="s">
        <v>6</v>
      </c>
      <c r="L726" s="41" t="s">
        <v>2031</v>
      </c>
      <c r="M726" s="7" t="s">
        <v>2653</v>
      </c>
      <c r="N726" s="42" t="s">
        <v>1161</v>
      </c>
      <c r="O726" s="42" t="s">
        <v>160</v>
      </c>
      <c r="P726" s="42" t="s">
        <v>160</v>
      </c>
      <c r="Q726" s="44" t="s">
        <v>1164</v>
      </c>
      <c r="R726" s="21"/>
      <c r="S726" s="19" t="s">
        <v>160</v>
      </c>
      <c r="T726" s="19" t="s">
        <v>160</v>
      </c>
      <c r="U726" s="19">
        <v>2</v>
      </c>
      <c r="V726" s="42" t="s">
        <v>160</v>
      </c>
      <c r="W726" s="42" t="s">
        <v>160</v>
      </c>
      <c r="X726" s="42" t="s">
        <v>160</v>
      </c>
      <c r="Y726" s="42" t="s">
        <v>160</v>
      </c>
      <c r="Z726" s="42"/>
      <c r="AA726" s="42"/>
      <c r="AB726" s="42"/>
      <c r="AC726" s="42"/>
      <c r="AD726" s="42"/>
      <c r="AE726" s="42"/>
      <c r="AF726" s="42"/>
      <c r="AG726" s="42"/>
      <c r="AH726" s="42"/>
      <c r="AI726" s="42"/>
      <c r="AJ726" s="42"/>
      <c r="AK726" s="42"/>
      <c r="AL726" s="42"/>
      <c r="AM726" s="42"/>
      <c r="AN726" s="42"/>
      <c r="AO726" s="42"/>
      <c r="AP726" s="42"/>
      <c r="AQ726" s="42"/>
      <c r="AR726" s="42"/>
      <c r="AS726" s="42"/>
      <c r="AZ726" s="42"/>
      <c r="BA726" s="42"/>
      <c r="BB726" s="42"/>
      <c r="BC726" s="42"/>
      <c r="BD726" s="42"/>
      <c r="BE726" s="42"/>
    </row>
    <row r="727" spans="1:57" x14ac:dyDescent="0.25">
      <c r="A727" s="9" t="s">
        <v>707</v>
      </c>
      <c r="B727" s="39" t="s">
        <v>421</v>
      </c>
      <c r="C727" s="39" t="s">
        <v>743</v>
      </c>
      <c r="D727" s="40" t="s">
        <v>422</v>
      </c>
      <c r="E727" s="46" t="s">
        <v>426</v>
      </c>
      <c r="F727" s="46" t="s">
        <v>425</v>
      </c>
      <c r="G727" s="40"/>
      <c r="H727" s="9" t="s">
        <v>150</v>
      </c>
      <c r="I727" s="41" t="s">
        <v>169</v>
      </c>
      <c r="J727" s="41" t="s">
        <v>169</v>
      </c>
      <c r="K727" s="40" t="s">
        <v>5</v>
      </c>
      <c r="L727" s="41" t="s">
        <v>2041</v>
      </c>
      <c r="M727" s="7" t="s">
        <v>2653</v>
      </c>
      <c r="N727" s="19" t="s">
        <v>1161</v>
      </c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2"/>
      <c r="AJ727" s="42"/>
      <c r="AK727" s="42"/>
      <c r="AL727" s="42"/>
      <c r="AM727" s="42"/>
      <c r="AN727" s="42"/>
      <c r="AO727" s="42"/>
      <c r="AP727" s="42"/>
      <c r="AQ727" s="42"/>
      <c r="AR727" s="42"/>
      <c r="AS727" s="42"/>
      <c r="AZ727" s="42" t="s">
        <v>160</v>
      </c>
      <c r="BA727" s="42" t="s">
        <v>160</v>
      </c>
      <c r="BB727" s="42"/>
      <c r="BC727" s="42"/>
      <c r="BD727" s="42"/>
      <c r="BE727" s="42"/>
    </row>
    <row r="728" spans="1:57" x14ac:dyDescent="0.25">
      <c r="A728" s="53" t="s">
        <v>2763</v>
      </c>
      <c r="B728" s="143">
        <v>35209</v>
      </c>
      <c r="C728" s="85" t="s">
        <v>743</v>
      </c>
      <c r="D728" s="85" t="s">
        <v>743</v>
      </c>
      <c r="E728" s="35">
        <v>62.880673999999999</v>
      </c>
      <c r="F728" s="35">
        <v>17.876380999999999</v>
      </c>
      <c r="G728" s="85">
        <v>2.34</v>
      </c>
      <c r="H728" s="9" t="s">
        <v>150</v>
      </c>
      <c r="I728" s="14" t="s">
        <v>169</v>
      </c>
      <c r="J728" s="85" t="s">
        <v>169</v>
      </c>
      <c r="K728" s="7" t="s">
        <v>6</v>
      </c>
      <c r="L728" s="7" t="s">
        <v>2031</v>
      </c>
      <c r="M728" s="7" t="s">
        <v>2653</v>
      </c>
      <c r="N728" s="42" t="s">
        <v>1161</v>
      </c>
      <c r="O728" s="42" t="s">
        <v>160</v>
      </c>
      <c r="P728" s="42" t="s">
        <v>160</v>
      </c>
      <c r="Q728" s="44" t="s">
        <v>1164</v>
      </c>
      <c r="R728" s="21"/>
      <c r="S728" s="19" t="s">
        <v>160</v>
      </c>
      <c r="T728" s="19" t="s">
        <v>160</v>
      </c>
      <c r="U728" s="42">
        <v>2</v>
      </c>
      <c r="V728" s="20" t="s">
        <v>160</v>
      </c>
      <c r="W728" s="20" t="s">
        <v>160</v>
      </c>
      <c r="X728" s="20" t="s">
        <v>160</v>
      </c>
      <c r="Y728" s="20" t="s">
        <v>160</v>
      </c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85"/>
      <c r="BC728" s="85"/>
      <c r="BD728" s="85"/>
      <c r="BE728" s="85"/>
    </row>
    <row r="729" spans="1:57" s="94" customFormat="1" x14ac:dyDescent="0.25">
      <c r="A729" s="105" t="s">
        <v>2773</v>
      </c>
      <c r="B729" s="139" t="s">
        <v>2838</v>
      </c>
      <c r="C729" s="110" t="s">
        <v>743</v>
      </c>
      <c r="D729" s="163" t="s">
        <v>69</v>
      </c>
      <c r="E729" s="82">
        <f>62+52/60+50.4264/3600</f>
        <v>62.880673999999999</v>
      </c>
      <c r="F729" s="82">
        <f>17+52/60+35.0616/3600</f>
        <v>17.876405999999999</v>
      </c>
      <c r="G729" s="87">
        <v>2.34</v>
      </c>
      <c r="H729" s="105" t="s">
        <v>150</v>
      </c>
      <c r="I729" s="105" t="s">
        <v>169</v>
      </c>
      <c r="J729" s="105" t="s">
        <v>169</v>
      </c>
      <c r="K729" s="105" t="s">
        <v>40</v>
      </c>
      <c r="L729" s="105" t="s">
        <v>2052</v>
      </c>
      <c r="M729" s="105" t="s">
        <v>2653</v>
      </c>
      <c r="N729" s="106" t="s">
        <v>1161</v>
      </c>
      <c r="O729" s="106" t="s">
        <v>160</v>
      </c>
      <c r="P729" s="106" t="s">
        <v>160</v>
      </c>
      <c r="Q729" s="107" t="s">
        <v>1164</v>
      </c>
      <c r="R729" s="122"/>
      <c r="S729" s="108" t="s">
        <v>160</v>
      </c>
      <c r="T729" s="108" t="s">
        <v>160</v>
      </c>
      <c r="U729" s="106">
        <v>2</v>
      </c>
      <c r="V729" s="103" t="s">
        <v>160</v>
      </c>
      <c r="W729" s="103" t="s">
        <v>160</v>
      </c>
      <c r="X729" s="103" t="s">
        <v>160</v>
      </c>
      <c r="Y729" s="103" t="s">
        <v>160</v>
      </c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 t="s">
        <v>160</v>
      </c>
      <c r="BA729" s="103" t="s">
        <v>160</v>
      </c>
      <c r="BB729" s="103"/>
      <c r="BC729" s="103"/>
      <c r="BD729" s="103"/>
      <c r="BE729" s="103"/>
    </row>
    <row r="730" spans="1:57" x14ac:dyDescent="0.25">
      <c r="A730" s="7" t="s">
        <v>8</v>
      </c>
      <c r="B730" s="142" t="s">
        <v>2910</v>
      </c>
      <c r="C730" s="23" t="s">
        <v>743</v>
      </c>
      <c r="D730" s="24" t="s">
        <v>743</v>
      </c>
      <c r="E730" s="193">
        <v>62.880699999999997</v>
      </c>
      <c r="F730" s="193">
        <v>17.8764</v>
      </c>
      <c r="G730" s="85"/>
      <c r="H730" s="7" t="s">
        <v>150</v>
      </c>
      <c r="I730" s="7" t="s">
        <v>169</v>
      </c>
      <c r="J730" s="7" t="s">
        <v>169</v>
      </c>
      <c r="K730" s="7" t="s">
        <v>40</v>
      </c>
      <c r="L730" s="7" t="s">
        <v>2052</v>
      </c>
      <c r="M730" s="7" t="s">
        <v>2653</v>
      </c>
      <c r="N730" s="42" t="s">
        <v>1161</v>
      </c>
      <c r="O730" s="42" t="s">
        <v>160</v>
      </c>
      <c r="P730" s="42" t="s">
        <v>160</v>
      </c>
      <c r="Q730" s="44" t="s">
        <v>1164</v>
      </c>
      <c r="R730" s="21"/>
      <c r="S730" s="19" t="s">
        <v>160</v>
      </c>
      <c r="T730" s="19" t="s">
        <v>160</v>
      </c>
      <c r="U730" s="42">
        <v>2</v>
      </c>
      <c r="V730" s="20" t="s">
        <v>160</v>
      </c>
      <c r="W730" s="20" t="s">
        <v>160</v>
      </c>
      <c r="X730" s="20" t="s">
        <v>160</v>
      </c>
      <c r="Y730" s="20" t="s">
        <v>160</v>
      </c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 t="s">
        <v>160</v>
      </c>
      <c r="BA730" s="20" t="s">
        <v>160</v>
      </c>
      <c r="BB730" s="20"/>
      <c r="BC730" s="20"/>
      <c r="BD730" s="20"/>
      <c r="BE730" s="20"/>
    </row>
    <row r="731" spans="1:57" x14ac:dyDescent="0.25">
      <c r="A731" s="9" t="s">
        <v>706</v>
      </c>
      <c r="B731" s="140">
        <v>172</v>
      </c>
      <c r="C731" s="23" t="s">
        <v>743</v>
      </c>
      <c r="D731" s="88" t="s">
        <v>69</v>
      </c>
      <c r="E731" s="35">
        <f>62+52/60+50/3600</f>
        <v>62.880555555555553</v>
      </c>
      <c r="F731" s="35">
        <f>17+52/60+35/3600</f>
        <v>17.87638888888889</v>
      </c>
      <c r="G731" s="85"/>
      <c r="H731" s="9" t="s">
        <v>150</v>
      </c>
      <c r="I731" s="7" t="s">
        <v>169</v>
      </c>
      <c r="J731" s="7" t="s">
        <v>169</v>
      </c>
      <c r="K731" s="9" t="s">
        <v>40</v>
      </c>
      <c r="L731" s="7" t="s">
        <v>2052</v>
      </c>
      <c r="M731" s="7" t="s">
        <v>2653</v>
      </c>
      <c r="N731" s="42" t="s">
        <v>1161</v>
      </c>
      <c r="O731" s="42" t="s">
        <v>160</v>
      </c>
      <c r="P731" s="42" t="s">
        <v>160</v>
      </c>
      <c r="Q731" s="44" t="s">
        <v>1164</v>
      </c>
      <c r="S731" s="19" t="s">
        <v>160</v>
      </c>
      <c r="T731" s="19" t="s">
        <v>160</v>
      </c>
      <c r="U731" s="19">
        <v>2</v>
      </c>
      <c r="V731" s="19" t="s">
        <v>160</v>
      </c>
      <c r="W731" s="19" t="s">
        <v>160</v>
      </c>
      <c r="X731" s="19" t="s">
        <v>160</v>
      </c>
      <c r="Y731" s="19" t="s">
        <v>160</v>
      </c>
      <c r="AZ731" s="19" t="s">
        <v>160</v>
      </c>
      <c r="BA731" s="19" t="s">
        <v>160</v>
      </c>
      <c r="BB731" s="19"/>
      <c r="BC731" s="19"/>
      <c r="BD731" s="19"/>
      <c r="BE731" s="19"/>
    </row>
    <row r="732" spans="1:57" s="94" customFormat="1" x14ac:dyDescent="0.25">
      <c r="A732" s="32" t="s">
        <v>707</v>
      </c>
      <c r="B732" s="33"/>
      <c r="C732" s="33" t="s">
        <v>1450</v>
      </c>
      <c r="D732" s="33" t="s">
        <v>2715</v>
      </c>
      <c r="E732" s="35"/>
      <c r="F732" s="35"/>
      <c r="G732" s="85"/>
      <c r="H732" s="33" t="s">
        <v>150</v>
      </c>
      <c r="I732" s="21" t="s">
        <v>8</v>
      </c>
      <c r="J732" s="32" t="s">
        <v>8</v>
      </c>
      <c r="K732" s="35" t="s">
        <v>5</v>
      </c>
      <c r="L732" s="35" t="s">
        <v>2043</v>
      </c>
      <c r="M732" s="33" t="s">
        <v>2653</v>
      </c>
      <c r="N732" s="37" t="s">
        <v>2503</v>
      </c>
      <c r="O732" s="67"/>
      <c r="P732" s="37" t="s">
        <v>160</v>
      </c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  <c r="AI732" s="37"/>
      <c r="AJ732" s="37"/>
      <c r="AK732" s="37"/>
      <c r="AL732" s="37"/>
      <c r="AM732" s="37"/>
      <c r="AN732" s="37"/>
      <c r="AO732" s="37"/>
      <c r="AP732" s="37"/>
      <c r="AQ732" s="37"/>
      <c r="AR732" s="37" t="s">
        <v>160</v>
      </c>
      <c r="AS732" s="37" t="s">
        <v>160</v>
      </c>
      <c r="AT732" s="37"/>
      <c r="AU732" s="37"/>
      <c r="AV732" s="37"/>
      <c r="AW732" s="37"/>
      <c r="AX732" s="37"/>
      <c r="AY732" s="37"/>
      <c r="AZ732" s="37"/>
      <c r="BA732" s="37"/>
      <c r="BB732" s="37"/>
      <c r="BC732" s="37"/>
      <c r="BD732" s="37"/>
      <c r="BE732" s="37"/>
    </row>
    <row r="733" spans="1:57" x14ac:dyDescent="0.25">
      <c r="A733" s="114" t="s">
        <v>2773</v>
      </c>
      <c r="B733" s="94" t="s">
        <v>2911</v>
      </c>
      <c r="C733" s="94" t="s">
        <v>1450</v>
      </c>
      <c r="D733" s="163" t="s">
        <v>1451</v>
      </c>
      <c r="E733" s="93">
        <f>62+38/60+30.12/3600</f>
        <v>62.6417</v>
      </c>
      <c r="F733" s="93">
        <f>18+5/60+23.64/3600</f>
        <v>18.0899</v>
      </c>
      <c r="G733" s="85">
        <v>14.324999999999999</v>
      </c>
      <c r="H733" s="94" t="s">
        <v>150</v>
      </c>
      <c r="I733" s="122" t="s">
        <v>8</v>
      </c>
      <c r="J733" s="122" t="s">
        <v>8</v>
      </c>
      <c r="K733" s="82" t="s">
        <v>5</v>
      </c>
      <c r="L733" s="93" t="s">
        <v>2681</v>
      </c>
      <c r="M733" s="105" t="s">
        <v>2653</v>
      </c>
      <c r="N733" s="108" t="s">
        <v>2503</v>
      </c>
      <c r="O733" s="104"/>
      <c r="P733" s="108" t="s">
        <v>160</v>
      </c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  <c r="AA733" s="108"/>
      <c r="AB733" s="108"/>
      <c r="AC733" s="108"/>
      <c r="AD733" s="108"/>
      <c r="AE733" s="108"/>
      <c r="AF733" s="108"/>
      <c r="AG733" s="108"/>
      <c r="AH733" s="108"/>
      <c r="AI733" s="108"/>
      <c r="AJ733" s="108"/>
      <c r="AK733" s="108"/>
      <c r="AL733" s="108"/>
      <c r="AM733" s="108"/>
      <c r="AN733" s="108"/>
      <c r="AO733" s="108"/>
      <c r="AP733" s="108"/>
      <c r="AQ733" s="108"/>
      <c r="AR733" s="108" t="s">
        <v>160</v>
      </c>
      <c r="AS733" s="108" t="s">
        <v>160</v>
      </c>
      <c r="AT733" s="108" t="s">
        <v>160</v>
      </c>
      <c r="AU733" s="108" t="s">
        <v>160</v>
      </c>
      <c r="AV733" s="108"/>
      <c r="AW733" s="108"/>
      <c r="AX733" s="108" t="s">
        <v>160</v>
      </c>
      <c r="AY733" s="108" t="s">
        <v>160</v>
      </c>
      <c r="AZ733" s="108" t="s">
        <v>160</v>
      </c>
      <c r="BA733" s="108" t="s">
        <v>160</v>
      </c>
      <c r="BB733" s="108"/>
      <c r="BC733" s="108"/>
      <c r="BD733" s="108"/>
      <c r="BE733" s="108"/>
    </row>
    <row r="734" spans="1:57" s="33" customFormat="1" x14ac:dyDescent="0.25">
      <c r="A734" s="6" t="s">
        <v>8</v>
      </c>
      <c r="B734" s="9">
        <v>128390</v>
      </c>
      <c r="C734" s="9" t="s">
        <v>1450</v>
      </c>
      <c r="D734" s="9" t="s">
        <v>1451</v>
      </c>
      <c r="E734" s="5">
        <f>62+38/60+30.12/3600</f>
        <v>62.6417</v>
      </c>
      <c r="F734" s="5">
        <f>18+5/60+23.64/3600</f>
        <v>18.0899</v>
      </c>
      <c r="G734" s="85">
        <v>14.324999999999999</v>
      </c>
      <c r="H734" s="9" t="s">
        <v>150</v>
      </c>
      <c r="I734" s="21" t="s">
        <v>8</v>
      </c>
      <c r="J734" s="21" t="s">
        <v>8</v>
      </c>
      <c r="K734" s="3" t="s">
        <v>5</v>
      </c>
      <c r="L734" s="5" t="s">
        <v>2681</v>
      </c>
      <c r="M734" s="7" t="s">
        <v>2653</v>
      </c>
      <c r="N734" s="19" t="s">
        <v>2503</v>
      </c>
      <c r="O734" s="22"/>
      <c r="P734" s="19" t="s">
        <v>160</v>
      </c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 t="s">
        <v>160</v>
      </c>
      <c r="AS734" s="19" t="s">
        <v>160</v>
      </c>
      <c r="AT734" s="19" t="s">
        <v>160</v>
      </c>
      <c r="AU734" s="19" t="s">
        <v>160</v>
      </c>
      <c r="AV734" s="19"/>
      <c r="AW734" s="19"/>
      <c r="AX734" s="19" t="s">
        <v>160</v>
      </c>
      <c r="AY734" s="19" t="s">
        <v>160</v>
      </c>
      <c r="AZ734" s="19" t="s">
        <v>160</v>
      </c>
      <c r="BA734" s="19" t="s">
        <v>160</v>
      </c>
      <c r="BB734" s="19"/>
      <c r="BC734" s="19"/>
      <c r="BD734" s="19"/>
      <c r="BE734" s="19"/>
    </row>
    <row r="735" spans="1:57" x14ac:dyDescent="0.25">
      <c r="A735" s="6" t="s">
        <v>706</v>
      </c>
      <c r="B735" s="9">
        <v>202</v>
      </c>
      <c r="C735" s="9" t="s">
        <v>1450</v>
      </c>
      <c r="D735" s="88" t="s">
        <v>2666</v>
      </c>
      <c r="E735" s="3">
        <f>62+38/60+30/3600</f>
        <v>62.641666666666666</v>
      </c>
      <c r="F735" s="3">
        <f>18+5/60+24/3600</f>
        <v>18.09</v>
      </c>
      <c r="G735" s="85"/>
      <c r="H735" s="9" t="s">
        <v>150</v>
      </c>
      <c r="I735" s="21" t="s">
        <v>8</v>
      </c>
      <c r="J735" s="21" t="s">
        <v>8</v>
      </c>
      <c r="K735" s="3" t="s">
        <v>5</v>
      </c>
      <c r="L735" s="5" t="s">
        <v>2043</v>
      </c>
      <c r="M735" s="7" t="s">
        <v>2653</v>
      </c>
      <c r="N735" s="19" t="s">
        <v>2503</v>
      </c>
      <c r="O735" s="22"/>
      <c r="P735" s="19" t="s">
        <v>160</v>
      </c>
      <c r="AR735" s="19" t="s">
        <v>160</v>
      </c>
      <c r="AS735" s="19" t="s">
        <v>160</v>
      </c>
      <c r="BB735" s="19"/>
      <c r="BC735" s="19"/>
      <c r="BD735" s="19"/>
      <c r="BE735" s="19"/>
    </row>
    <row r="736" spans="1:57" x14ac:dyDescent="0.25">
      <c r="A736" s="9" t="s">
        <v>8</v>
      </c>
      <c r="B736" s="26">
        <v>35073</v>
      </c>
      <c r="C736" s="24" t="s">
        <v>1089</v>
      </c>
      <c r="D736" s="24" t="s">
        <v>1452</v>
      </c>
      <c r="E736" s="25">
        <f>58+47/60+25/3600</f>
        <v>58.790277777777774</v>
      </c>
      <c r="F736" s="72">
        <f>13+15/60+2/3600</f>
        <v>13.250555555555556</v>
      </c>
      <c r="G736" s="85"/>
      <c r="H736" s="9" t="s">
        <v>148</v>
      </c>
      <c r="I736" s="9" t="s">
        <v>8</v>
      </c>
      <c r="J736" s="7" t="s">
        <v>8</v>
      </c>
      <c r="K736" s="10" t="s">
        <v>2455</v>
      </c>
      <c r="L736" s="7" t="s">
        <v>2027</v>
      </c>
      <c r="M736" s="7" t="s">
        <v>717</v>
      </c>
      <c r="N736" s="42" t="s">
        <v>1358</v>
      </c>
      <c r="O736" s="22"/>
      <c r="P736" s="42"/>
      <c r="S736" s="42"/>
      <c r="U736" s="42"/>
      <c r="X736" s="19" t="s">
        <v>160</v>
      </c>
      <c r="AN736" s="19" t="s">
        <v>160</v>
      </c>
      <c r="BB736" s="19"/>
      <c r="BC736" s="19"/>
      <c r="BD736" s="19"/>
      <c r="BE736" s="19"/>
    </row>
    <row r="737" spans="1:57" x14ac:dyDescent="0.25">
      <c r="A737" s="9" t="s">
        <v>8</v>
      </c>
      <c r="B737" s="27">
        <v>37401</v>
      </c>
      <c r="C737" s="28" t="s">
        <v>1948</v>
      </c>
      <c r="D737" s="28" t="s">
        <v>1452</v>
      </c>
      <c r="E737" s="25">
        <f>58+48/60</f>
        <v>58.8</v>
      </c>
      <c r="F737" s="25">
        <f>13+20/60</f>
        <v>13.333333333333334</v>
      </c>
      <c r="G737" s="85"/>
      <c r="H737" s="9" t="s">
        <v>148</v>
      </c>
      <c r="I737" s="9" t="s">
        <v>8</v>
      </c>
      <c r="J737" s="7" t="s">
        <v>8</v>
      </c>
      <c r="K737" s="6" t="s">
        <v>2455</v>
      </c>
      <c r="L737" s="7" t="s">
        <v>2027</v>
      </c>
      <c r="M737" s="28" t="s">
        <v>717</v>
      </c>
      <c r="N737" s="19" t="s">
        <v>1861</v>
      </c>
      <c r="O737" s="22"/>
      <c r="X737" s="19" t="s">
        <v>160</v>
      </c>
      <c r="BA737" s="7"/>
      <c r="BB737" s="7"/>
      <c r="BC737" s="7"/>
      <c r="BD737" s="7"/>
      <c r="BE737" s="7"/>
    </row>
    <row r="738" spans="1:57" x14ac:dyDescent="0.25">
      <c r="A738" s="6" t="s">
        <v>8</v>
      </c>
      <c r="B738" s="9">
        <v>83460</v>
      </c>
      <c r="C738" s="9" t="s">
        <v>2240</v>
      </c>
      <c r="D738" s="9" t="s">
        <v>1452</v>
      </c>
      <c r="E738" s="3">
        <v>58.790399999999998</v>
      </c>
      <c r="F738" s="3">
        <v>13.253399999999999</v>
      </c>
      <c r="G738" s="85">
        <v>55</v>
      </c>
      <c r="H738" s="9" t="s">
        <v>148</v>
      </c>
      <c r="I738" s="6" t="s">
        <v>8</v>
      </c>
      <c r="J738" s="21" t="s">
        <v>8</v>
      </c>
      <c r="K738" s="3" t="s">
        <v>5</v>
      </c>
      <c r="L738" s="5" t="s">
        <v>2680</v>
      </c>
      <c r="M738" s="7" t="s">
        <v>717</v>
      </c>
      <c r="N738" s="19" t="s">
        <v>2504</v>
      </c>
      <c r="O738" s="22"/>
      <c r="P738" s="19" t="s">
        <v>160</v>
      </c>
      <c r="T738" s="7"/>
      <c r="AR738" s="19" t="s">
        <v>160</v>
      </c>
      <c r="AT738" s="19" t="s">
        <v>160</v>
      </c>
      <c r="AV738" s="19" t="s">
        <v>160</v>
      </c>
      <c r="AX738" s="19" t="s">
        <v>160</v>
      </c>
      <c r="AZ738" s="19" t="s">
        <v>160</v>
      </c>
      <c r="BB738" s="19"/>
      <c r="BC738" s="19"/>
      <c r="BD738" s="19"/>
      <c r="BE738" s="19"/>
    </row>
    <row r="739" spans="1:57" x14ac:dyDescent="0.25">
      <c r="A739" s="9" t="s">
        <v>8</v>
      </c>
      <c r="B739" s="26">
        <v>33030</v>
      </c>
      <c r="C739" s="24" t="s">
        <v>1003</v>
      </c>
      <c r="D739" s="24" t="s">
        <v>1004</v>
      </c>
      <c r="E739" s="25">
        <f>58+11/60+0.6/3600</f>
        <v>58.183499999999995</v>
      </c>
      <c r="F739" s="25">
        <f>11+0/60+55.08/3600</f>
        <v>11.0153</v>
      </c>
      <c r="G739" s="85"/>
      <c r="H739" s="9" t="s">
        <v>150</v>
      </c>
      <c r="I739" s="10" t="s">
        <v>8</v>
      </c>
      <c r="J739" s="24" t="s">
        <v>8</v>
      </c>
      <c r="K739" s="9" t="s">
        <v>951</v>
      </c>
      <c r="L739" s="7" t="s">
        <v>2050</v>
      </c>
      <c r="M739" s="7" t="s">
        <v>717</v>
      </c>
      <c r="N739" s="42">
        <v>2008</v>
      </c>
      <c r="O739" s="22"/>
      <c r="P739" s="42"/>
      <c r="S739" s="19" t="s">
        <v>160</v>
      </c>
      <c r="T739" s="19" t="s">
        <v>160</v>
      </c>
      <c r="U739" s="42"/>
      <c r="X739" s="19" t="s">
        <v>160</v>
      </c>
      <c r="AN739" s="19" t="s">
        <v>160</v>
      </c>
      <c r="BB739" s="19"/>
      <c r="BC739" s="19"/>
      <c r="BD739" s="19"/>
      <c r="BE739" s="19"/>
    </row>
    <row r="740" spans="1:57" x14ac:dyDescent="0.25">
      <c r="A740" s="9" t="s">
        <v>8</v>
      </c>
      <c r="B740" s="27">
        <v>37145</v>
      </c>
      <c r="C740" s="28" t="s">
        <v>1949</v>
      </c>
      <c r="D740" s="28" t="s">
        <v>1731</v>
      </c>
      <c r="E740" s="25">
        <v>60.083300000000001</v>
      </c>
      <c r="F740" s="25">
        <v>20.916699999999999</v>
      </c>
      <c r="G740" s="85"/>
      <c r="H740" s="9" t="s">
        <v>150</v>
      </c>
      <c r="I740" s="10" t="s">
        <v>8</v>
      </c>
      <c r="J740" s="24" t="s">
        <v>8</v>
      </c>
      <c r="K740" s="6" t="s">
        <v>2455</v>
      </c>
      <c r="L740" s="7" t="s">
        <v>2027</v>
      </c>
      <c r="M740" s="28" t="s">
        <v>717</v>
      </c>
      <c r="N740" s="19" t="s">
        <v>1831</v>
      </c>
      <c r="O740" s="22"/>
      <c r="T740" s="7"/>
      <c r="BA740" s="7"/>
      <c r="BB740" s="7"/>
      <c r="BC740" s="7"/>
      <c r="BD740" s="7"/>
      <c r="BE740" s="7"/>
    </row>
    <row r="741" spans="1:57" x14ac:dyDescent="0.25">
      <c r="A741" s="9" t="s">
        <v>8</v>
      </c>
      <c r="B741" s="27">
        <v>37144</v>
      </c>
      <c r="C741" s="28" t="s">
        <v>1950</v>
      </c>
      <c r="D741" s="28" t="s">
        <v>1730</v>
      </c>
      <c r="E741" s="25">
        <v>59.95</v>
      </c>
      <c r="F741" s="25">
        <v>19.966699999999999</v>
      </c>
      <c r="G741" s="85"/>
      <c r="H741" s="9" t="s">
        <v>150</v>
      </c>
      <c r="I741" s="10" t="s">
        <v>8</v>
      </c>
      <c r="J741" s="24" t="s">
        <v>8</v>
      </c>
      <c r="K741" s="6" t="s">
        <v>2455</v>
      </c>
      <c r="L741" s="7" t="s">
        <v>2027</v>
      </c>
      <c r="M741" s="28" t="s">
        <v>717</v>
      </c>
      <c r="N741" s="19" t="s">
        <v>1829</v>
      </c>
      <c r="O741" s="22"/>
      <c r="T741" s="7"/>
      <c r="BA741" s="7"/>
      <c r="BB741" s="7"/>
      <c r="BC741" s="7"/>
      <c r="BD741" s="7"/>
      <c r="BE741" s="7"/>
    </row>
    <row r="742" spans="1:57" x14ac:dyDescent="0.25">
      <c r="A742" s="9" t="s">
        <v>8</v>
      </c>
      <c r="B742" s="27">
        <v>37143</v>
      </c>
      <c r="C742" s="28" t="s">
        <v>1951</v>
      </c>
      <c r="D742" s="28" t="s">
        <v>1729</v>
      </c>
      <c r="E742" s="25">
        <v>59.866700000000002</v>
      </c>
      <c r="F742" s="25">
        <v>19.666699999999999</v>
      </c>
      <c r="G742" s="85"/>
      <c r="H742" s="9" t="s">
        <v>150</v>
      </c>
      <c r="I742" s="10" t="s">
        <v>8</v>
      </c>
      <c r="J742" s="24" t="s">
        <v>8</v>
      </c>
      <c r="K742" s="6" t="s">
        <v>2455</v>
      </c>
      <c r="L742" s="7" t="s">
        <v>2027</v>
      </c>
      <c r="M742" s="28" t="s">
        <v>717</v>
      </c>
      <c r="N742" s="19" t="s">
        <v>1830</v>
      </c>
      <c r="O742" s="22"/>
      <c r="T742" s="7"/>
      <c r="BA742" s="7"/>
      <c r="BB742" s="7"/>
      <c r="BC742" s="7"/>
      <c r="BD742" s="7"/>
      <c r="BE742" s="7"/>
    </row>
    <row r="743" spans="1:57" x14ac:dyDescent="0.25">
      <c r="A743" s="9" t="s">
        <v>8</v>
      </c>
      <c r="B743" s="27">
        <v>37142</v>
      </c>
      <c r="C743" s="28" t="s">
        <v>1952</v>
      </c>
      <c r="D743" s="28" t="s">
        <v>1728</v>
      </c>
      <c r="E743" s="25">
        <v>59.8</v>
      </c>
      <c r="F743" s="25">
        <v>19.366700000000002</v>
      </c>
      <c r="G743" s="85"/>
      <c r="H743" s="9" t="s">
        <v>150</v>
      </c>
      <c r="I743" s="10" t="s">
        <v>8</v>
      </c>
      <c r="J743" s="24" t="s">
        <v>8</v>
      </c>
      <c r="K743" s="6" t="s">
        <v>2455</v>
      </c>
      <c r="L743" s="7" t="s">
        <v>2027</v>
      </c>
      <c r="M743" s="28" t="s">
        <v>717</v>
      </c>
      <c r="N743" s="19" t="s">
        <v>1829</v>
      </c>
      <c r="O743" s="22"/>
      <c r="T743" s="7"/>
      <c r="X743" s="19" t="s">
        <v>160</v>
      </c>
      <c r="BA743" s="7"/>
      <c r="BB743" s="7"/>
      <c r="BC743" s="7"/>
      <c r="BD743" s="7"/>
      <c r="BE743" s="7"/>
    </row>
    <row r="744" spans="1:57" x14ac:dyDescent="0.25">
      <c r="A744" s="9" t="s">
        <v>8</v>
      </c>
      <c r="B744" s="27">
        <v>37141</v>
      </c>
      <c r="C744" s="28" t="s">
        <v>1953</v>
      </c>
      <c r="D744" s="28" t="s">
        <v>1727</v>
      </c>
      <c r="E744" s="25">
        <v>59.716700000000003</v>
      </c>
      <c r="F744" s="25">
        <v>19.083300000000001</v>
      </c>
      <c r="G744" s="85"/>
      <c r="H744" s="9" t="s">
        <v>150</v>
      </c>
      <c r="I744" s="10" t="s">
        <v>8</v>
      </c>
      <c r="J744" s="24" t="s">
        <v>8</v>
      </c>
      <c r="K744" s="6" t="s">
        <v>2455</v>
      </c>
      <c r="L744" s="7" t="s">
        <v>2027</v>
      </c>
      <c r="M744" s="28" t="s">
        <v>717</v>
      </c>
      <c r="N744" s="19" t="s">
        <v>1828</v>
      </c>
      <c r="O744" s="22"/>
      <c r="T744" s="7"/>
      <c r="BA744" s="7"/>
      <c r="BB744" s="7"/>
      <c r="BC744" s="7"/>
      <c r="BD744" s="7"/>
      <c r="BE744" s="7"/>
    </row>
    <row r="745" spans="1:57" x14ac:dyDescent="0.25">
      <c r="A745" s="6" t="s">
        <v>8</v>
      </c>
      <c r="B745" s="9">
        <v>53220</v>
      </c>
      <c r="C745" s="9" t="s">
        <v>1453</v>
      </c>
      <c r="D745" s="9" t="s">
        <v>1454</v>
      </c>
      <c r="E745" s="3">
        <v>55.384</v>
      </c>
      <c r="F745" s="3">
        <v>13.0595</v>
      </c>
      <c r="G745" s="85">
        <v>17</v>
      </c>
      <c r="H745" s="9" t="s">
        <v>150</v>
      </c>
      <c r="I745" s="6" t="s">
        <v>8</v>
      </c>
      <c r="J745" s="21" t="s">
        <v>8</v>
      </c>
      <c r="K745" s="3" t="s">
        <v>5</v>
      </c>
      <c r="L745" s="5" t="s">
        <v>2695</v>
      </c>
      <c r="M745" s="7" t="s">
        <v>717</v>
      </c>
      <c r="N745" s="19" t="s">
        <v>2505</v>
      </c>
      <c r="O745" s="22"/>
      <c r="P745" s="19" t="s">
        <v>160</v>
      </c>
      <c r="AR745" s="19" t="s">
        <v>160</v>
      </c>
      <c r="AT745" s="19" t="s">
        <v>160</v>
      </c>
      <c r="AV745" s="19" t="s">
        <v>160</v>
      </c>
      <c r="AX745" s="19" t="s">
        <v>160</v>
      </c>
      <c r="BB745" s="19"/>
      <c r="BC745" s="19"/>
      <c r="BD745" s="19"/>
      <c r="BE745" s="19"/>
    </row>
    <row r="746" spans="1:57" s="94" customFormat="1" x14ac:dyDescent="0.25">
      <c r="A746" s="9" t="s">
        <v>707</v>
      </c>
      <c r="B746" s="137" t="s">
        <v>442</v>
      </c>
      <c r="C746" s="23" t="s">
        <v>865</v>
      </c>
      <c r="D746" s="40" t="s">
        <v>151</v>
      </c>
      <c r="E746" s="46" t="s">
        <v>2138</v>
      </c>
      <c r="F746" s="46" t="s">
        <v>2139</v>
      </c>
      <c r="G746" s="85"/>
      <c r="H746" s="9" t="s">
        <v>151</v>
      </c>
      <c r="I746" s="41" t="s">
        <v>169</v>
      </c>
      <c r="J746" s="41" t="s">
        <v>169</v>
      </c>
      <c r="K746" s="40" t="s">
        <v>6</v>
      </c>
      <c r="L746" s="41" t="s">
        <v>2030</v>
      </c>
      <c r="M746" s="7" t="s">
        <v>2653</v>
      </c>
      <c r="N746" s="19"/>
      <c r="O746" s="19"/>
      <c r="P746" s="19"/>
      <c r="Q746" s="19"/>
      <c r="R746" s="19"/>
      <c r="S746" s="19"/>
      <c r="T746" s="19"/>
      <c r="U746" s="19"/>
      <c r="V746" s="42" t="s">
        <v>160</v>
      </c>
      <c r="W746" s="42" t="s">
        <v>160</v>
      </c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2"/>
      <c r="AJ746" s="42"/>
      <c r="AK746" s="42"/>
      <c r="AL746" s="42"/>
      <c r="AM746" s="42"/>
      <c r="AN746" s="42"/>
      <c r="AO746" s="42"/>
      <c r="AP746" s="42"/>
      <c r="AQ746" s="42"/>
      <c r="AR746" s="42"/>
      <c r="AS746" s="42"/>
      <c r="AT746" s="19"/>
      <c r="AU746" s="19"/>
      <c r="AV746" s="19"/>
      <c r="AW746" s="19"/>
      <c r="AX746" s="19"/>
      <c r="AY746" s="19"/>
      <c r="AZ746" s="42"/>
      <c r="BA746" s="42"/>
      <c r="BB746" s="42"/>
      <c r="BC746" s="42"/>
      <c r="BD746" s="42"/>
      <c r="BE746" s="42"/>
    </row>
    <row r="747" spans="1:57" x14ac:dyDescent="0.25">
      <c r="A747" s="114" t="s">
        <v>2773</v>
      </c>
      <c r="B747" s="139" t="s">
        <v>2806</v>
      </c>
      <c r="C747" s="110" t="s">
        <v>865</v>
      </c>
      <c r="D747" s="153" t="s">
        <v>74</v>
      </c>
      <c r="E747" s="84">
        <f>59+27/60</f>
        <v>59.45</v>
      </c>
      <c r="F747" s="165">
        <f>17+17/60</f>
        <v>17.283333333333335</v>
      </c>
      <c r="G747" s="87"/>
      <c r="H747" s="94" t="s">
        <v>151</v>
      </c>
      <c r="I747" s="102" t="s">
        <v>169</v>
      </c>
      <c r="J747" s="102" t="s">
        <v>169</v>
      </c>
      <c r="K747" s="102" t="s">
        <v>6</v>
      </c>
      <c r="L747" s="102" t="s">
        <v>2030</v>
      </c>
      <c r="M747" s="105" t="s">
        <v>2653</v>
      </c>
      <c r="N747" s="108"/>
      <c r="O747" s="108"/>
      <c r="P747" s="108"/>
      <c r="Q747" s="108"/>
      <c r="R747" s="108"/>
      <c r="S747" s="108"/>
      <c r="T747" s="108"/>
      <c r="U747" s="108"/>
      <c r="V747" s="108" t="s">
        <v>160</v>
      </c>
      <c r="W747" s="108" t="s">
        <v>160</v>
      </c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08"/>
      <c r="AH747" s="108"/>
      <c r="AI747" s="108"/>
      <c r="AJ747" s="108"/>
      <c r="AK747" s="108"/>
      <c r="AL747" s="108"/>
      <c r="AM747" s="108"/>
      <c r="AN747" s="108"/>
      <c r="AO747" s="108"/>
      <c r="AP747" s="108"/>
      <c r="AQ747" s="108"/>
      <c r="AR747" s="108"/>
      <c r="AS747" s="108"/>
      <c r="AT747" s="108"/>
      <c r="AU747" s="108"/>
      <c r="AV747" s="108"/>
      <c r="AW747" s="108"/>
      <c r="AX747" s="108"/>
      <c r="AY747" s="108"/>
      <c r="AZ747" s="108"/>
      <c r="BA747" s="108"/>
      <c r="BB747" s="108"/>
      <c r="BC747" s="108"/>
      <c r="BD747" s="108"/>
      <c r="BE747" s="108"/>
    </row>
    <row r="748" spans="1:57" x14ac:dyDescent="0.25">
      <c r="A748" s="6" t="s">
        <v>8</v>
      </c>
      <c r="B748" s="142" t="s">
        <v>2912</v>
      </c>
      <c r="C748" s="23" t="s">
        <v>865</v>
      </c>
      <c r="D748" s="24" t="s">
        <v>781</v>
      </c>
      <c r="E748" s="199">
        <v>59.45</v>
      </c>
      <c r="F748" s="201">
        <f>17+17/60</f>
        <v>17.283333333333335</v>
      </c>
      <c r="G748" s="85"/>
      <c r="H748" s="9" t="s">
        <v>151</v>
      </c>
      <c r="I748" s="24" t="s">
        <v>169</v>
      </c>
      <c r="J748" s="24" t="s">
        <v>169</v>
      </c>
      <c r="K748" s="24" t="s">
        <v>6</v>
      </c>
      <c r="L748" s="24" t="s">
        <v>2030</v>
      </c>
      <c r="M748" s="7" t="s">
        <v>2653</v>
      </c>
      <c r="V748" s="19" t="s">
        <v>160</v>
      </c>
      <c r="W748" s="19" t="s">
        <v>160</v>
      </c>
      <c r="BB748" s="19"/>
      <c r="BC748" s="19"/>
      <c r="BD748" s="19"/>
      <c r="BE748" s="19"/>
    </row>
    <row r="749" spans="1:57" x14ac:dyDescent="0.25">
      <c r="A749" s="9" t="s">
        <v>706</v>
      </c>
      <c r="B749" s="140">
        <v>55</v>
      </c>
      <c r="C749" s="23" t="s">
        <v>865</v>
      </c>
      <c r="D749" s="62" t="s">
        <v>74</v>
      </c>
      <c r="E749" s="3">
        <f>59+27/60+0/3600</f>
        <v>59.45</v>
      </c>
      <c r="F749" s="3">
        <f>17+16/60+60/3600</f>
        <v>17.283333333333331</v>
      </c>
      <c r="G749" s="85"/>
      <c r="H749" s="9" t="s">
        <v>151</v>
      </c>
      <c r="I749" s="7" t="s">
        <v>169</v>
      </c>
      <c r="J749" s="7" t="s">
        <v>169</v>
      </c>
      <c r="K749" s="9" t="s">
        <v>6</v>
      </c>
      <c r="L749" s="7" t="s">
        <v>2030</v>
      </c>
      <c r="M749" s="7" t="s">
        <v>2653</v>
      </c>
      <c r="O749" s="22"/>
      <c r="V749" s="19" t="s">
        <v>160</v>
      </c>
      <c r="W749" s="19" t="s">
        <v>160</v>
      </c>
      <c r="BB749" s="19"/>
      <c r="BC749" s="19"/>
      <c r="BD749" s="19"/>
      <c r="BE749" s="19"/>
    </row>
    <row r="750" spans="1:57" s="94" customFormat="1" x14ac:dyDescent="0.25">
      <c r="A750" s="94" t="s">
        <v>2773</v>
      </c>
      <c r="B750" s="136">
        <v>2098</v>
      </c>
      <c r="C750" s="110" t="s">
        <v>973</v>
      </c>
      <c r="D750" s="112" t="s">
        <v>974</v>
      </c>
      <c r="E750" s="190">
        <f>55+37/60+0/3600</f>
        <v>55.616666666666667</v>
      </c>
      <c r="F750" s="190">
        <f>13+0/60+0/3600</f>
        <v>13</v>
      </c>
      <c r="G750" s="87"/>
      <c r="H750" s="94" t="s">
        <v>150</v>
      </c>
      <c r="I750" s="94" t="s">
        <v>8</v>
      </c>
      <c r="J750" s="105" t="s">
        <v>8</v>
      </c>
      <c r="K750" s="94" t="s">
        <v>6</v>
      </c>
      <c r="L750" s="105" t="s">
        <v>2030</v>
      </c>
      <c r="M750" s="105" t="s">
        <v>717</v>
      </c>
      <c r="N750" s="108" t="s">
        <v>1191</v>
      </c>
      <c r="O750" s="104"/>
      <c r="P750" s="108" t="s">
        <v>160</v>
      </c>
      <c r="Q750" s="108" t="s">
        <v>1166</v>
      </c>
      <c r="R750" s="119" t="s">
        <v>1192</v>
      </c>
      <c r="S750" s="108" t="s">
        <v>160</v>
      </c>
      <c r="T750" s="108" t="s">
        <v>160</v>
      </c>
      <c r="U750" s="108">
        <v>4</v>
      </c>
      <c r="V750" s="108" t="s">
        <v>160</v>
      </c>
      <c r="W750" s="108"/>
      <c r="X750" s="108"/>
      <c r="Y750" s="108"/>
      <c r="Z750" s="108"/>
      <c r="AA750" s="108"/>
      <c r="AB750" s="108"/>
      <c r="AC750" s="108"/>
      <c r="AD750" s="108"/>
      <c r="AE750" s="108"/>
      <c r="AF750" s="108"/>
      <c r="AG750" s="108"/>
      <c r="AH750" s="108"/>
      <c r="AI750" s="108"/>
      <c r="AJ750" s="108"/>
      <c r="AK750" s="108"/>
      <c r="AL750" s="108"/>
      <c r="AM750" s="108"/>
      <c r="AN750" s="108"/>
      <c r="AO750" s="108"/>
      <c r="AP750" s="108"/>
      <c r="AQ750" s="108"/>
      <c r="AR750" s="108"/>
      <c r="AS750" s="108"/>
      <c r="AT750" s="108"/>
      <c r="AU750" s="108"/>
      <c r="AV750" s="108"/>
      <c r="AW750" s="108"/>
      <c r="AX750" s="108"/>
      <c r="AY750" s="108"/>
      <c r="AZ750" s="108"/>
      <c r="BA750" s="108"/>
      <c r="BB750" s="108"/>
      <c r="BC750" s="108"/>
      <c r="BD750" s="108"/>
      <c r="BE750" s="108"/>
    </row>
    <row r="751" spans="1:57" x14ac:dyDescent="0.25">
      <c r="A751" s="9" t="s">
        <v>8</v>
      </c>
      <c r="B751" s="140">
        <v>2098</v>
      </c>
      <c r="C751" s="23" t="s">
        <v>973</v>
      </c>
      <c r="D751" s="40" t="s">
        <v>974</v>
      </c>
      <c r="E751" s="195">
        <v>55.62</v>
      </c>
      <c r="F751" s="195">
        <v>12.99</v>
      </c>
      <c r="G751" s="85"/>
      <c r="H751" s="9" t="s">
        <v>150</v>
      </c>
      <c r="I751" s="9" t="s">
        <v>8</v>
      </c>
      <c r="J751" s="7" t="s">
        <v>8</v>
      </c>
      <c r="K751" s="9" t="s">
        <v>6</v>
      </c>
      <c r="L751" s="7" t="s">
        <v>2030</v>
      </c>
      <c r="M751" s="7" t="s">
        <v>717</v>
      </c>
      <c r="N751" s="19" t="s">
        <v>1191</v>
      </c>
      <c r="O751" s="22"/>
      <c r="P751" s="19" t="s">
        <v>160</v>
      </c>
      <c r="Q751" s="19" t="s">
        <v>1166</v>
      </c>
      <c r="R751" s="166" t="s">
        <v>1192</v>
      </c>
      <c r="S751" s="19" t="s">
        <v>160</v>
      </c>
      <c r="T751" s="19" t="s">
        <v>160</v>
      </c>
      <c r="U751" s="19">
        <v>4</v>
      </c>
      <c r="V751" s="19" t="s">
        <v>160</v>
      </c>
      <c r="BB751" s="19"/>
      <c r="BC751" s="19"/>
      <c r="BD751" s="19"/>
      <c r="BE751" s="19"/>
    </row>
    <row r="752" spans="1:57" x14ac:dyDescent="0.25">
      <c r="A752" s="6" t="s">
        <v>8</v>
      </c>
      <c r="B752" s="9">
        <v>53360</v>
      </c>
      <c r="C752" s="9" t="s">
        <v>2018</v>
      </c>
      <c r="D752" s="9" t="s">
        <v>974</v>
      </c>
      <c r="E752" s="3">
        <v>55.578200000000002</v>
      </c>
      <c r="F752" s="3">
        <v>13.014099999999999</v>
      </c>
      <c r="G752" s="9">
        <v>13</v>
      </c>
      <c r="H752" s="9"/>
      <c r="I752" s="6" t="s">
        <v>8</v>
      </c>
      <c r="J752" s="21" t="s">
        <v>8</v>
      </c>
      <c r="K752" s="3" t="s">
        <v>5</v>
      </c>
      <c r="L752" s="5" t="s">
        <v>2680</v>
      </c>
      <c r="M752" s="7" t="s">
        <v>717</v>
      </c>
      <c r="N752" s="19" t="s">
        <v>2506</v>
      </c>
      <c r="O752" s="22"/>
      <c r="P752" s="19" t="s">
        <v>160</v>
      </c>
      <c r="AR752" s="19" t="s">
        <v>160</v>
      </c>
      <c r="AT752" s="19" t="s">
        <v>160</v>
      </c>
      <c r="AV752" s="19" t="s">
        <v>160</v>
      </c>
      <c r="AX752" s="19" t="s">
        <v>160</v>
      </c>
      <c r="AZ752" s="19" t="s">
        <v>160</v>
      </c>
      <c r="BB752" s="19"/>
      <c r="BC752" s="19"/>
      <c r="BD752" s="19"/>
      <c r="BE752" s="19"/>
    </row>
    <row r="753" spans="1:57" x14ac:dyDescent="0.25">
      <c r="A753" s="6" t="s">
        <v>8</v>
      </c>
      <c r="B753" s="9">
        <v>53370</v>
      </c>
      <c r="C753" s="9" t="s">
        <v>2236</v>
      </c>
      <c r="D753" s="9" t="s">
        <v>974</v>
      </c>
      <c r="E753" s="3">
        <v>55.604799999999997</v>
      </c>
      <c r="F753" s="3">
        <v>12.9841</v>
      </c>
      <c r="G753" s="9">
        <v>3</v>
      </c>
      <c r="H753" s="9" t="s">
        <v>150</v>
      </c>
      <c r="I753" s="6" t="s">
        <v>8</v>
      </c>
      <c r="J753" s="21" t="s">
        <v>8</v>
      </c>
      <c r="K753" s="3" t="s">
        <v>5</v>
      </c>
      <c r="L753" s="5" t="s">
        <v>2681</v>
      </c>
      <c r="M753" s="7" t="s">
        <v>717</v>
      </c>
      <c r="N753" s="19" t="s">
        <v>2507</v>
      </c>
      <c r="O753" s="22"/>
      <c r="P753" s="19" t="s">
        <v>160</v>
      </c>
      <c r="AR753" s="19" t="s">
        <v>160</v>
      </c>
      <c r="AT753" s="19" t="s">
        <v>160</v>
      </c>
      <c r="AX753" s="19" t="s">
        <v>160</v>
      </c>
      <c r="AZ753" s="19" t="s">
        <v>160</v>
      </c>
      <c r="BB753" s="19"/>
      <c r="BC753" s="19"/>
      <c r="BD753" s="19"/>
      <c r="BE753" s="19"/>
    </row>
    <row r="754" spans="1:57" x14ac:dyDescent="0.25">
      <c r="A754" s="6" t="s">
        <v>8</v>
      </c>
      <c r="B754" s="9">
        <v>52350</v>
      </c>
      <c r="C754" s="9" t="s">
        <v>1455</v>
      </c>
      <c r="D754" s="9" t="s">
        <v>1456</v>
      </c>
      <c r="E754" s="3">
        <v>55.5715</v>
      </c>
      <c r="F754" s="3">
        <v>13.0708</v>
      </c>
      <c r="G754" s="9">
        <v>19.757000000000001</v>
      </c>
      <c r="H754" s="9"/>
      <c r="I754" s="21" t="s">
        <v>8</v>
      </c>
      <c r="J754" s="21" t="s">
        <v>8</v>
      </c>
      <c r="K754" s="3" t="s">
        <v>5</v>
      </c>
      <c r="L754" s="5" t="s">
        <v>2681</v>
      </c>
      <c r="M754" s="5" t="s">
        <v>2653</v>
      </c>
      <c r="N754" s="19" t="s">
        <v>2503</v>
      </c>
      <c r="O754" s="22"/>
      <c r="P754" s="19" t="s">
        <v>160</v>
      </c>
      <c r="AR754" s="19" t="s">
        <v>160</v>
      </c>
      <c r="AS754" s="19" t="s">
        <v>160</v>
      </c>
      <c r="AT754" s="19" t="s">
        <v>160</v>
      </c>
      <c r="AU754" s="19" t="s">
        <v>160</v>
      </c>
      <c r="AX754" s="19" t="s">
        <v>160</v>
      </c>
      <c r="AY754" s="19" t="s">
        <v>160</v>
      </c>
      <c r="AZ754" s="19" t="s">
        <v>160</v>
      </c>
      <c r="BA754" s="19" t="s">
        <v>160</v>
      </c>
      <c r="BB754" s="19"/>
      <c r="BC754" s="19"/>
      <c r="BD754" s="19"/>
      <c r="BE754" s="19"/>
    </row>
    <row r="755" spans="1:57" x14ac:dyDescent="0.25">
      <c r="A755" s="9" t="s">
        <v>707</v>
      </c>
      <c r="B755" s="137" t="s">
        <v>429</v>
      </c>
      <c r="C755" s="23" t="s">
        <v>863</v>
      </c>
      <c r="D755" s="40" t="s">
        <v>430</v>
      </c>
      <c r="E755" s="46" t="s">
        <v>432</v>
      </c>
      <c r="F755" s="46" t="s">
        <v>431</v>
      </c>
      <c r="G755" s="40"/>
      <c r="H755" s="9" t="s">
        <v>150</v>
      </c>
      <c r="I755" s="41" t="s">
        <v>169</v>
      </c>
      <c r="J755" s="41" t="s">
        <v>169</v>
      </c>
      <c r="K755" s="40" t="s">
        <v>6</v>
      </c>
      <c r="L755" s="41" t="s">
        <v>2031</v>
      </c>
      <c r="M755" s="7" t="s">
        <v>2653</v>
      </c>
      <c r="N755" s="42" t="s">
        <v>1108</v>
      </c>
      <c r="O755" s="42" t="s">
        <v>160</v>
      </c>
      <c r="P755" s="42" t="s">
        <v>160</v>
      </c>
      <c r="Q755" s="44" t="s">
        <v>1193</v>
      </c>
      <c r="S755" s="19" t="s">
        <v>160</v>
      </c>
      <c r="T755" s="19" t="s">
        <v>160</v>
      </c>
      <c r="U755" s="19">
        <v>2</v>
      </c>
      <c r="V755" s="42" t="s">
        <v>160</v>
      </c>
      <c r="W755" s="42" t="s">
        <v>160</v>
      </c>
      <c r="X755" s="42" t="s">
        <v>160</v>
      </c>
      <c r="Y755" s="42" t="s">
        <v>160</v>
      </c>
      <c r="Z755" s="42"/>
      <c r="AA755" s="42"/>
      <c r="AB755" s="42"/>
      <c r="AC755" s="42"/>
      <c r="AD755" s="42"/>
      <c r="AE755" s="42"/>
      <c r="AF755" s="42"/>
      <c r="AG755" s="42"/>
      <c r="AH755" s="42"/>
      <c r="AI755" s="42"/>
      <c r="AJ755" s="42"/>
      <c r="AK755" s="42"/>
      <c r="AL755" s="42"/>
      <c r="AM755" s="42"/>
      <c r="AN755" s="42"/>
      <c r="AO755" s="42"/>
      <c r="AP755" s="42"/>
      <c r="AQ755" s="42"/>
      <c r="AR755" s="42"/>
      <c r="AS755" s="42"/>
      <c r="AZ755" s="42"/>
      <c r="BA755" s="42"/>
      <c r="BB755" s="42"/>
      <c r="BC755" s="42"/>
      <c r="BD755" s="42"/>
      <c r="BE755" s="42"/>
    </row>
    <row r="756" spans="1:57" x14ac:dyDescent="0.25">
      <c r="A756" s="9" t="s">
        <v>707</v>
      </c>
      <c r="B756" s="39" t="s">
        <v>427</v>
      </c>
      <c r="C756" s="39" t="s">
        <v>863</v>
      </c>
      <c r="D756" s="40" t="s">
        <v>428</v>
      </c>
      <c r="E756" s="46" t="s">
        <v>2140</v>
      </c>
      <c r="F756" s="46" t="s">
        <v>2141</v>
      </c>
      <c r="G756" s="40"/>
      <c r="H756" s="9" t="s">
        <v>150</v>
      </c>
      <c r="I756" s="41" t="s">
        <v>169</v>
      </c>
      <c r="J756" s="41" t="s">
        <v>169</v>
      </c>
      <c r="K756" s="40" t="s">
        <v>5</v>
      </c>
      <c r="L756" s="41" t="s">
        <v>2043</v>
      </c>
      <c r="M756" s="7" t="s">
        <v>2653</v>
      </c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2"/>
      <c r="AJ756" s="42"/>
      <c r="AK756" s="42"/>
      <c r="AL756" s="42"/>
      <c r="AM756" s="42"/>
      <c r="AN756" s="42"/>
      <c r="AO756" s="42"/>
      <c r="AP756" s="42"/>
      <c r="AQ756" s="42"/>
      <c r="AR756" s="42" t="s">
        <v>160</v>
      </c>
      <c r="AS756" s="42" t="s">
        <v>160</v>
      </c>
      <c r="AZ756" s="42"/>
      <c r="BA756" s="42"/>
      <c r="BB756" s="42"/>
      <c r="BC756" s="42"/>
      <c r="BD756" s="42"/>
      <c r="BE756" s="42"/>
    </row>
    <row r="757" spans="1:57" x14ac:dyDescent="0.25">
      <c r="A757" s="53" t="s">
        <v>2763</v>
      </c>
      <c r="B757" s="143">
        <v>35152</v>
      </c>
      <c r="C757" s="85" t="s">
        <v>863</v>
      </c>
      <c r="D757" s="85" t="s">
        <v>770</v>
      </c>
      <c r="E757" s="35">
        <v>55.613518999999997</v>
      </c>
      <c r="F757" s="35">
        <v>12.997555999999999</v>
      </c>
      <c r="G757" s="85">
        <v>2.2200000000000002</v>
      </c>
      <c r="H757" s="9" t="s">
        <v>150</v>
      </c>
      <c r="I757" s="14" t="s">
        <v>169</v>
      </c>
      <c r="J757" s="85" t="s">
        <v>169</v>
      </c>
      <c r="K757" s="7" t="s">
        <v>6</v>
      </c>
      <c r="L757" s="7" t="s">
        <v>2031</v>
      </c>
      <c r="M757" s="7" t="s">
        <v>2653</v>
      </c>
      <c r="N757" s="42" t="s">
        <v>1108</v>
      </c>
      <c r="O757" s="42" t="s">
        <v>160</v>
      </c>
      <c r="P757" s="42" t="s">
        <v>160</v>
      </c>
      <c r="Q757" s="44" t="s">
        <v>1193</v>
      </c>
      <c r="S757" s="19" t="s">
        <v>160</v>
      </c>
      <c r="T757" s="19" t="s">
        <v>160</v>
      </c>
      <c r="U757" s="42">
        <v>2</v>
      </c>
      <c r="V757" s="20" t="s">
        <v>160</v>
      </c>
      <c r="W757" s="20" t="s">
        <v>160</v>
      </c>
      <c r="X757" s="20" t="s">
        <v>160</v>
      </c>
      <c r="Y757" s="20" t="s">
        <v>160</v>
      </c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85"/>
      <c r="AU757" s="85"/>
      <c r="AV757" s="85"/>
      <c r="AW757" s="85"/>
      <c r="AX757" s="85"/>
      <c r="AY757" s="85"/>
      <c r="AZ757" s="85"/>
      <c r="BA757" s="85"/>
      <c r="BB757" s="85"/>
      <c r="BC757" s="85"/>
      <c r="BD757" s="85"/>
      <c r="BE757" s="85"/>
    </row>
    <row r="758" spans="1:57" s="94" customFormat="1" x14ac:dyDescent="0.25">
      <c r="A758" s="105" t="s">
        <v>2773</v>
      </c>
      <c r="B758" s="139" t="s">
        <v>2805</v>
      </c>
      <c r="C758" s="110" t="s">
        <v>863</v>
      </c>
      <c r="D758" s="153" t="s">
        <v>70</v>
      </c>
      <c r="E758" s="82">
        <f>55+36/60+48.816/3600</f>
        <v>55.61356</v>
      </c>
      <c r="F758" s="82">
        <f>12+59/60+51.612/3600</f>
        <v>12.997669999999999</v>
      </c>
      <c r="G758" s="178">
        <v>2.2200000000000002</v>
      </c>
      <c r="H758" s="105" t="s">
        <v>150</v>
      </c>
      <c r="I758" s="105" t="s">
        <v>169</v>
      </c>
      <c r="J758" s="105" t="s">
        <v>169</v>
      </c>
      <c r="K758" s="105" t="s">
        <v>40</v>
      </c>
      <c r="L758" s="105" t="s">
        <v>2055</v>
      </c>
      <c r="M758" s="105" t="s">
        <v>2653</v>
      </c>
      <c r="N758" s="106" t="s">
        <v>1108</v>
      </c>
      <c r="O758" s="106" t="s">
        <v>160</v>
      </c>
      <c r="P758" s="106" t="s">
        <v>160</v>
      </c>
      <c r="Q758" s="107" t="s">
        <v>1193</v>
      </c>
      <c r="R758" s="108"/>
      <c r="S758" s="108" t="s">
        <v>160</v>
      </c>
      <c r="T758" s="108" t="s">
        <v>160</v>
      </c>
      <c r="U758" s="106">
        <v>2</v>
      </c>
      <c r="V758" s="103" t="s">
        <v>160</v>
      </c>
      <c r="W758" s="103" t="s">
        <v>160</v>
      </c>
      <c r="X758" s="103" t="s">
        <v>160</v>
      </c>
      <c r="Y758" s="103" t="s">
        <v>160</v>
      </c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 t="s">
        <v>160</v>
      </c>
      <c r="AS758" s="103" t="s">
        <v>160</v>
      </c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  <c r="BD758" s="103"/>
      <c r="BE758" s="103"/>
    </row>
    <row r="759" spans="1:57" x14ac:dyDescent="0.25">
      <c r="A759" s="7" t="s">
        <v>8</v>
      </c>
      <c r="B759" s="142" t="s">
        <v>2913</v>
      </c>
      <c r="C759" s="23" t="s">
        <v>863</v>
      </c>
      <c r="D759" s="24" t="s">
        <v>770</v>
      </c>
      <c r="E759" s="193">
        <v>55.613500000000002</v>
      </c>
      <c r="F759" s="193">
        <v>12.9975</v>
      </c>
      <c r="G759" s="43"/>
      <c r="H759" s="7" t="s">
        <v>150</v>
      </c>
      <c r="I759" s="7" t="s">
        <v>169</v>
      </c>
      <c r="J759" s="7" t="s">
        <v>169</v>
      </c>
      <c r="K759" s="7" t="s">
        <v>40</v>
      </c>
      <c r="L759" s="7" t="s">
        <v>2055</v>
      </c>
      <c r="M759" s="7" t="s">
        <v>2653</v>
      </c>
      <c r="N759" s="42" t="s">
        <v>1108</v>
      </c>
      <c r="O759" s="42" t="s">
        <v>160</v>
      </c>
      <c r="P759" s="42" t="s">
        <v>160</v>
      </c>
      <c r="Q759" s="44" t="s">
        <v>1193</v>
      </c>
      <c r="S759" s="19" t="s">
        <v>160</v>
      </c>
      <c r="T759" s="19" t="s">
        <v>160</v>
      </c>
      <c r="U759" s="42">
        <v>2</v>
      </c>
      <c r="V759" s="20" t="s">
        <v>160</v>
      </c>
      <c r="W759" s="20" t="s">
        <v>160</v>
      </c>
      <c r="X759" s="20" t="s">
        <v>160</v>
      </c>
      <c r="Y759" s="20" t="s">
        <v>160</v>
      </c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 t="s">
        <v>160</v>
      </c>
      <c r="AS759" s="20" t="s">
        <v>160</v>
      </c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  <c r="BE759" s="20"/>
    </row>
    <row r="760" spans="1:57" x14ac:dyDescent="0.25">
      <c r="A760" s="9" t="s">
        <v>706</v>
      </c>
      <c r="B760" s="140">
        <v>68</v>
      </c>
      <c r="C760" s="23" t="s">
        <v>863</v>
      </c>
      <c r="D760" s="62" t="s">
        <v>70</v>
      </c>
      <c r="E760" s="35">
        <f>55+37/60+33/3600</f>
        <v>55.625833333333333</v>
      </c>
      <c r="F760" s="35">
        <f>12+59/60+4/3600</f>
        <v>12.984444444444444</v>
      </c>
      <c r="G760" s="43"/>
      <c r="H760" s="9" t="s">
        <v>150</v>
      </c>
      <c r="I760" s="7" t="s">
        <v>169</v>
      </c>
      <c r="J760" s="7" t="s">
        <v>169</v>
      </c>
      <c r="K760" s="9" t="s">
        <v>40</v>
      </c>
      <c r="L760" s="7" t="s">
        <v>2055</v>
      </c>
      <c r="M760" s="7" t="s">
        <v>2653</v>
      </c>
      <c r="N760" s="42" t="s">
        <v>1108</v>
      </c>
      <c r="O760" s="42" t="s">
        <v>160</v>
      </c>
      <c r="P760" s="42" t="s">
        <v>160</v>
      </c>
      <c r="Q760" s="44" t="s">
        <v>1193</v>
      </c>
      <c r="S760" s="19" t="s">
        <v>160</v>
      </c>
      <c r="T760" s="19" t="s">
        <v>160</v>
      </c>
      <c r="U760" s="19">
        <v>2</v>
      </c>
      <c r="V760" s="19" t="s">
        <v>160</v>
      </c>
      <c r="W760" s="19" t="s">
        <v>160</v>
      </c>
      <c r="X760" s="19" t="s">
        <v>160</v>
      </c>
      <c r="Y760" s="19" t="s">
        <v>160</v>
      </c>
      <c r="AR760" s="19" t="s">
        <v>160</v>
      </c>
      <c r="AS760" s="19" t="s">
        <v>160</v>
      </c>
      <c r="BB760" s="19"/>
      <c r="BC760" s="19"/>
      <c r="BD760" s="19"/>
      <c r="BE760" s="19"/>
    </row>
    <row r="761" spans="1:57" s="94" customFormat="1" x14ac:dyDescent="0.25">
      <c r="A761" s="98" t="s">
        <v>2773</v>
      </c>
      <c r="B761" s="135">
        <v>30601</v>
      </c>
      <c r="C761" s="98" t="s">
        <v>1272</v>
      </c>
      <c r="D761" s="98" t="s">
        <v>1238</v>
      </c>
      <c r="E761" s="189">
        <f>55+38/60+24/3600</f>
        <v>55.64</v>
      </c>
      <c r="F761" s="189">
        <f>13+1/60+48/3600</f>
        <v>13.030000000000001</v>
      </c>
      <c r="G761" s="101"/>
      <c r="H761" s="98" t="s">
        <v>150</v>
      </c>
      <c r="I761" s="98" t="s">
        <v>8</v>
      </c>
      <c r="J761" s="102" t="s">
        <v>8</v>
      </c>
      <c r="K761" s="98" t="s">
        <v>6</v>
      </c>
      <c r="L761" s="102" t="s">
        <v>2030</v>
      </c>
      <c r="M761" s="102" t="s">
        <v>717</v>
      </c>
      <c r="N761" s="104" t="s">
        <v>1316</v>
      </c>
      <c r="O761" s="104"/>
      <c r="P761" s="104"/>
      <c r="Q761" s="103" t="s">
        <v>1663</v>
      </c>
      <c r="R761" s="103"/>
      <c r="S761" s="103"/>
      <c r="T761" s="103"/>
      <c r="U761" s="104">
        <v>4</v>
      </c>
      <c r="V761" s="103" t="s">
        <v>160</v>
      </c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  <c r="BD761" s="103"/>
      <c r="BE761" s="103"/>
    </row>
    <row r="762" spans="1:57" x14ac:dyDescent="0.25">
      <c r="A762" s="10" t="s">
        <v>8</v>
      </c>
      <c r="B762" s="155">
        <v>30601</v>
      </c>
      <c r="C762" s="10" t="s">
        <v>1272</v>
      </c>
      <c r="D762" s="10" t="s">
        <v>1238</v>
      </c>
      <c r="E762" s="193">
        <v>55.636699999999998</v>
      </c>
      <c r="F762" s="193">
        <v>13.0273</v>
      </c>
      <c r="G762" s="30"/>
      <c r="H762" s="10" t="s">
        <v>150</v>
      </c>
      <c r="I762" s="10" t="s">
        <v>8</v>
      </c>
      <c r="J762" s="24" t="s">
        <v>8</v>
      </c>
      <c r="K762" s="10" t="s">
        <v>6</v>
      </c>
      <c r="L762" s="24" t="s">
        <v>2030</v>
      </c>
      <c r="M762" s="24" t="s">
        <v>717</v>
      </c>
      <c r="N762" s="22" t="s">
        <v>1316</v>
      </c>
      <c r="O762" s="22"/>
      <c r="P762" s="22"/>
      <c r="Q762" s="20" t="s">
        <v>1663</v>
      </c>
      <c r="R762" s="20"/>
      <c r="S762" s="20"/>
      <c r="T762" s="20"/>
      <c r="U762" s="22">
        <v>4</v>
      </c>
      <c r="V762" s="20" t="s">
        <v>160</v>
      </c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  <c r="BE762" s="20"/>
    </row>
    <row r="763" spans="1:57" s="33" customFormat="1" x14ac:dyDescent="0.25">
      <c r="A763" s="36" t="s">
        <v>8</v>
      </c>
      <c r="B763" s="167" t="s">
        <v>875</v>
      </c>
      <c r="C763" s="36" t="s">
        <v>2914</v>
      </c>
      <c r="D763" s="168" t="s">
        <v>2916</v>
      </c>
      <c r="E763" s="47">
        <f>55+38/60+55/3600</f>
        <v>55.648611111111109</v>
      </c>
      <c r="F763" s="47">
        <f>12+59/60+59/3600</f>
        <v>12.999722222222221</v>
      </c>
      <c r="G763" s="47"/>
      <c r="H763" s="36" t="s">
        <v>150</v>
      </c>
      <c r="I763" s="24" t="s">
        <v>2918</v>
      </c>
      <c r="J763" s="36" t="s">
        <v>169</v>
      </c>
      <c r="K763" s="36" t="s">
        <v>951</v>
      </c>
      <c r="L763" s="36" t="s">
        <v>2045</v>
      </c>
      <c r="M763" s="36" t="s">
        <v>2653</v>
      </c>
      <c r="N763" s="67"/>
      <c r="O763" s="67" t="s">
        <v>160</v>
      </c>
      <c r="P763" s="67"/>
      <c r="Q763" s="156"/>
      <c r="R763" s="156"/>
      <c r="S763" s="156"/>
      <c r="T763" s="156"/>
      <c r="U763" s="67"/>
      <c r="V763" s="156"/>
      <c r="W763" s="156"/>
      <c r="X763" s="156"/>
      <c r="Y763" s="156"/>
      <c r="Z763" s="156"/>
      <c r="AA763" s="156"/>
      <c r="AB763" s="156"/>
      <c r="AC763" s="156"/>
      <c r="AD763" s="156"/>
      <c r="AE763" s="156"/>
      <c r="AF763" s="156"/>
      <c r="AG763" s="156"/>
      <c r="AH763" s="156"/>
      <c r="AI763" s="156"/>
      <c r="AJ763" s="156"/>
      <c r="AK763" s="156"/>
      <c r="AL763" s="156" t="s">
        <v>160</v>
      </c>
      <c r="AM763" s="156" t="s">
        <v>160</v>
      </c>
      <c r="AN763" s="156"/>
      <c r="AO763" s="156"/>
      <c r="AP763" s="156"/>
      <c r="AQ763" s="156"/>
      <c r="AR763" s="156"/>
      <c r="AS763" s="156"/>
      <c r="AT763" s="156"/>
      <c r="AU763" s="156"/>
      <c r="AV763" s="156"/>
      <c r="AW763" s="156"/>
      <c r="AX763" s="156"/>
      <c r="AY763" s="156"/>
      <c r="AZ763" s="156"/>
      <c r="BA763" s="156"/>
      <c r="BB763" s="156"/>
      <c r="BC763" s="156"/>
      <c r="BD763" s="156"/>
      <c r="BE763" s="156"/>
    </row>
    <row r="764" spans="1:57" x14ac:dyDescent="0.25">
      <c r="A764" s="10" t="s">
        <v>706</v>
      </c>
      <c r="B764" s="155" t="s">
        <v>2915</v>
      </c>
      <c r="C764" s="10" t="s">
        <v>2914</v>
      </c>
      <c r="D764" s="31" t="s">
        <v>2916</v>
      </c>
      <c r="E764" s="25">
        <f>55+38/60+55/3600</f>
        <v>55.648611111111109</v>
      </c>
      <c r="F764" s="25">
        <f>12+59/60+59/3600</f>
        <v>12.999722222222221</v>
      </c>
      <c r="G764" s="30"/>
      <c r="H764" s="10" t="s">
        <v>150</v>
      </c>
      <c r="I764" s="24" t="s">
        <v>2918</v>
      </c>
      <c r="J764" s="24" t="s">
        <v>169</v>
      </c>
      <c r="K764" s="10" t="s">
        <v>951</v>
      </c>
      <c r="L764" s="24" t="s">
        <v>2045</v>
      </c>
      <c r="M764" s="24" t="s">
        <v>2653</v>
      </c>
      <c r="N764" s="22"/>
      <c r="O764" s="22" t="s">
        <v>160</v>
      </c>
      <c r="P764" s="22"/>
      <c r="Q764" s="20"/>
      <c r="R764" s="20"/>
      <c r="S764" s="20"/>
      <c r="T764" s="20"/>
      <c r="U764" s="22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 t="s">
        <v>160</v>
      </c>
      <c r="AM764" s="20" t="s">
        <v>160</v>
      </c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  <c r="BE764" s="20"/>
    </row>
    <row r="765" spans="1:57" s="33" customFormat="1" x14ac:dyDescent="0.25">
      <c r="A765" s="36" t="s">
        <v>706</v>
      </c>
      <c r="B765" s="167" t="s">
        <v>875</v>
      </c>
      <c r="C765" s="36" t="s">
        <v>2917</v>
      </c>
      <c r="D765" s="168" t="s">
        <v>2919</v>
      </c>
      <c r="E765" s="47">
        <f>55+39/60+56/3600</f>
        <v>55.665555555555557</v>
      </c>
      <c r="F765" s="47">
        <f>12+58/60+13/3600</f>
        <v>12.970277777777778</v>
      </c>
      <c r="G765" s="47"/>
      <c r="H765" s="36" t="s">
        <v>150</v>
      </c>
      <c r="I765" s="24" t="s">
        <v>2918</v>
      </c>
      <c r="J765" s="36" t="s">
        <v>169</v>
      </c>
      <c r="K765" s="36" t="s">
        <v>951</v>
      </c>
      <c r="L765" s="36" t="s">
        <v>2045</v>
      </c>
      <c r="M765" s="36" t="s">
        <v>2653</v>
      </c>
      <c r="N765" s="67"/>
      <c r="O765" s="67" t="s">
        <v>160</v>
      </c>
      <c r="P765" s="67"/>
      <c r="Q765" s="156"/>
      <c r="R765" s="156"/>
      <c r="S765" s="156"/>
      <c r="T765" s="156"/>
      <c r="U765" s="67"/>
      <c r="V765" s="156"/>
      <c r="W765" s="156"/>
      <c r="X765" s="156"/>
      <c r="Y765" s="156"/>
      <c r="Z765" s="156"/>
      <c r="AA765" s="156"/>
      <c r="AB765" s="156"/>
      <c r="AC765" s="156"/>
      <c r="AD765" s="156"/>
      <c r="AE765" s="156"/>
      <c r="AF765" s="156"/>
      <c r="AG765" s="156"/>
      <c r="AH765" s="156"/>
      <c r="AI765" s="156"/>
      <c r="AJ765" s="156"/>
      <c r="AK765" s="156"/>
      <c r="AL765" s="156" t="s">
        <v>160</v>
      </c>
      <c r="AM765" s="156" t="s">
        <v>160</v>
      </c>
      <c r="AN765" s="156"/>
      <c r="AO765" s="156"/>
      <c r="AP765" s="156"/>
      <c r="AQ765" s="156"/>
      <c r="AR765" s="156"/>
      <c r="AS765" s="156"/>
      <c r="AT765" s="156"/>
      <c r="AU765" s="156"/>
      <c r="AV765" s="156"/>
      <c r="AW765" s="156"/>
      <c r="AX765" s="156"/>
      <c r="AY765" s="156"/>
      <c r="AZ765" s="156"/>
      <c r="BA765" s="156"/>
      <c r="BB765" s="156"/>
      <c r="BC765" s="156"/>
      <c r="BD765" s="156"/>
      <c r="BE765" s="156"/>
    </row>
    <row r="766" spans="1:57" x14ac:dyDescent="0.25">
      <c r="A766" s="10" t="s">
        <v>706</v>
      </c>
      <c r="B766" s="155" t="s">
        <v>2920</v>
      </c>
      <c r="C766" s="10" t="s">
        <v>2917</v>
      </c>
      <c r="D766" s="31" t="s">
        <v>2919</v>
      </c>
      <c r="E766" s="25">
        <f>55+39/60+56/3600</f>
        <v>55.665555555555557</v>
      </c>
      <c r="F766" s="25">
        <f>12+58/60+13/3600</f>
        <v>12.970277777777778</v>
      </c>
      <c r="G766" s="30"/>
      <c r="H766" s="10" t="s">
        <v>150</v>
      </c>
      <c r="I766" s="24" t="s">
        <v>2918</v>
      </c>
      <c r="J766" s="24" t="s">
        <v>169</v>
      </c>
      <c r="K766" s="10" t="s">
        <v>951</v>
      </c>
      <c r="L766" s="24" t="s">
        <v>2045</v>
      </c>
      <c r="M766" s="24" t="s">
        <v>2653</v>
      </c>
      <c r="N766" s="22"/>
      <c r="O766" s="22" t="s">
        <v>160</v>
      </c>
      <c r="P766" s="22"/>
      <c r="Q766" s="20"/>
      <c r="R766" s="20"/>
      <c r="S766" s="20"/>
      <c r="T766" s="20"/>
      <c r="U766" s="22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 t="s">
        <v>160</v>
      </c>
      <c r="AM766" s="20" t="s">
        <v>160</v>
      </c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  <c r="BE766" s="20"/>
    </row>
    <row r="767" spans="1:57" x14ac:dyDescent="0.25">
      <c r="A767" s="6" t="s">
        <v>8</v>
      </c>
      <c r="B767" s="9">
        <v>53300</v>
      </c>
      <c r="C767" s="9" t="s">
        <v>2448</v>
      </c>
      <c r="D767" s="9" t="s">
        <v>1457</v>
      </c>
      <c r="E767" s="3">
        <v>55.523099999999999</v>
      </c>
      <c r="F767" s="3">
        <v>13.3787</v>
      </c>
      <c r="G767" s="9">
        <v>72</v>
      </c>
      <c r="H767" s="9" t="s">
        <v>150</v>
      </c>
      <c r="I767" s="21" t="s">
        <v>8</v>
      </c>
      <c r="J767" s="21" t="s">
        <v>8</v>
      </c>
      <c r="K767" s="3" t="s">
        <v>5</v>
      </c>
      <c r="L767" s="5" t="s">
        <v>2680</v>
      </c>
      <c r="M767" s="5" t="s">
        <v>2653</v>
      </c>
      <c r="N767" s="19" t="s">
        <v>2508</v>
      </c>
      <c r="O767" s="22"/>
      <c r="P767" s="19" t="s">
        <v>160</v>
      </c>
      <c r="AR767" s="19" t="s">
        <v>160</v>
      </c>
      <c r="AS767" s="19" t="s">
        <v>160</v>
      </c>
      <c r="AT767" s="19" t="s">
        <v>160</v>
      </c>
      <c r="AU767" s="19" t="s">
        <v>160</v>
      </c>
      <c r="AV767" s="19" t="s">
        <v>160</v>
      </c>
      <c r="AW767" s="19" t="s">
        <v>160</v>
      </c>
      <c r="AX767" s="19" t="s">
        <v>160</v>
      </c>
      <c r="AY767" s="19" t="s">
        <v>160</v>
      </c>
      <c r="AZ767" s="19" t="s">
        <v>160</v>
      </c>
      <c r="BA767" s="19" t="s">
        <v>160</v>
      </c>
      <c r="BB767" s="19"/>
      <c r="BC767" s="19"/>
      <c r="BD767" s="19"/>
      <c r="BE767" s="19"/>
    </row>
    <row r="768" spans="1:57" x14ac:dyDescent="0.25">
      <c r="A768" s="9" t="s">
        <v>8</v>
      </c>
      <c r="B768" s="27">
        <v>37102</v>
      </c>
      <c r="C768" s="28" t="s">
        <v>1954</v>
      </c>
      <c r="D768" s="28" t="s">
        <v>1715</v>
      </c>
      <c r="E768" s="25">
        <v>65.533299999999997</v>
      </c>
      <c r="F768" s="25">
        <v>23.566700000000001</v>
      </c>
      <c r="H768" s="9" t="s">
        <v>150</v>
      </c>
      <c r="I768" s="6" t="s">
        <v>8</v>
      </c>
      <c r="J768" s="21" t="s">
        <v>8</v>
      </c>
      <c r="K768" s="6" t="s">
        <v>2455</v>
      </c>
      <c r="L768" s="7" t="s">
        <v>2027</v>
      </c>
      <c r="M768" s="28" t="s">
        <v>717</v>
      </c>
      <c r="N768" s="19" t="s">
        <v>1812</v>
      </c>
      <c r="O768" s="22"/>
      <c r="T768" s="7"/>
      <c r="X768" s="19" t="s">
        <v>160</v>
      </c>
      <c r="BA768" s="7"/>
      <c r="BB768" s="7"/>
      <c r="BC768" s="7"/>
      <c r="BD768" s="7"/>
      <c r="BE768" s="7"/>
    </row>
    <row r="769" spans="1:57" x14ac:dyDescent="0.25">
      <c r="A769" s="6" t="s">
        <v>8</v>
      </c>
      <c r="B769" s="9">
        <v>83440</v>
      </c>
      <c r="C769" s="9" t="s">
        <v>2403</v>
      </c>
      <c r="D769" s="9" t="s">
        <v>1458</v>
      </c>
      <c r="E769" s="3">
        <v>58.7136</v>
      </c>
      <c r="F769" s="3">
        <v>13.823</v>
      </c>
      <c r="G769" s="9">
        <v>50</v>
      </c>
      <c r="H769" s="3" t="s">
        <v>148</v>
      </c>
      <c r="I769" s="21" t="s">
        <v>8</v>
      </c>
      <c r="J769" s="21" t="s">
        <v>8</v>
      </c>
      <c r="K769" s="3" t="s">
        <v>5</v>
      </c>
      <c r="L769" s="5" t="s">
        <v>2028</v>
      </c>
      <c r="M769" s="5" t="s">
        <v>2653</v>
      </c>
      <c r="N769" s="19" t="s">
        <v>2571</v>
      </c>
      <c r="O769" s="22"/>
      <c r="P769" s="19" t="s">
        <v>160</v>
      </c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19" t="s">
        <v>160</v>
      </c>
      <c r="AU769" s="19" t="s">
        <v>160</v>
      </c>
      <c r="BB769" s="19"/>
      <c r="BC769" s="19"/>
      <c r="BD769" s="19"/>
      <c r="BE769" s="19"/>
    </row>
    <row r="770" spans="1:57" x14ac:dyDescent="0.25">
      <c r="A770" s="9" t="s">
        <v>707</v>
      </c>
      <c r="B770" s="137" t="s">
        <v>433</v>
      </c>
      <c r="C770" s="23" t="s">
        <v>727</v>
      </c>
      <c r="D770" s="40" t="s">
        <v>434</v>
      </c>
      <c r="E770" s="46" t="s">
        <v>436</v>
      </c>
      <c r="F770" s="46" t="s">
        <v>435</v>
      </c>
      <c r="G770" s="40"/>
      <c r="H770" s="9" t="s">
        <v>150</v>
      </c>
      <c r="I770" s="41" t="s">
        <v>169</v>
      </c>
      <c r="J770" s="41" t="s">
        <v>169</v>
      </c>
      <c r="K770" s="40" t="s">
        <v>6</v>
      </c>
      <c r="L770" s="41" t="s">
        <v>2031</v>
      </c>
      <c r="M770" s="7" t="s">
        <v>2653</v>
      </c>
      <c r="N770" s="42" t="s">
        <v>1108</v>
      </c>
      <c r="O770" s="42" t="s">
        <v>160</v>
      </c>
      <c r="P770" s="42" t="s">
        <v>160</v>
      </c>
      <c r="Q770" s="44" t="s">
        <v>1195</v>
      </c>
      <c r="S770" s="19" t="s">
        <v>160</v>
      </c>
      <c r="T770" s="19" t="s">
        <v>160</v>
      </c>
      <c r="U770" s="19">
        <v>2</v>
      </c>
      <c r="V770" s="42" t="s">
        <v>160</v>
      </c>
      <c r="W770" s="42" t="s">
        <v>160</v>
      </c>
      <c r="X770" s="42" t="s">
        <v>160</v>
      </c>
      <c r="Y770" s="42" t="s">
        <v>160</v>
      </c>
      <c r="Z770" s="42"/>
      <c r="AA770" s="42"/>
      <c r="AB770" s="42"/>
      <c r="AC770" s="42"/>
      <c r="AD770" s="42"/>
      <c r="AE770" s="42"/>
      <c r="AF770" s="42"/>
      <c r="AG770" s="42"/>
      <c r="AH770" s="42"/>
      <c r="AI770" s="42"/>
      <c r="AJ770" s="42"/>
      <c r="AK770" s="42"/>
      <c r="AL770" s="42"/>
      <c r="AM770" s="42"/>
      <c r="AN770" s="42"/>
      <c r="AO770" s="42"/>
      <c r="AP770" s="42"/>
      <c r="AQ770" s="42"/>
      <c r="AR770" s="42"/>
      <c r="AS770" s="42"/>
      <c r="AZ770" s="42"/>
      <c r="BA770" s="42"/>
      <c r="BB770" s="42"/>
      <c r="BC770" s="42"/>
      <c r="BD770" s="42"/>
      <c r="BE770" s="42"/>
    </row>
    <row r="771" spans="1:57" x14ac:dyDescent="0.25">
      <c r="A771" s="53" t="s">
        <v>2763</v>
      </c>
      <c r="B771" s="143">
        <v>35104</v>
      </c>
      <c r="C771" s="85" t="s">
        <v>727</v>
      </c>
      <c r="D771" s="85" t="s">
        <v>727</v>
      </c>
      <c r="E771" s="35">
        <v>57.887036000000002</v>
      </c>
      <c r="F771" s="35">
        <v>11.593590000000001</v>
      </c>
      <c r="G771" s="85">
        <v>1.64</v>
      </c>
      <c r="H771" s="9" t="s">
        <v>150</v>
      </c>
      <c r="I771" s="14" t="s">
        <v>169</v>
      </c>
      <c r="J771" s="85" t="s">
        <v>169</v>
      </c>
      <c r="K771" s="7" t="s">
        <v>6</v>
      </c>
      <c r="L771" s="7" t="s">
        <v>2031</v>
      </c>
      <c r="M771" s="7" t="s">
        <v>2653</v>
      </c>
      <c r="N771" s="42" t="s">
        <v>1108</v>
      </c>
      <c r="O771" s="42" t="s">
        <v>160</v>
      </c>
      <c r="P771" s="42" t="s">
        <v>160</v>
      </c>
      <c r="Q771" s="44" t="s">
        <v>1195</v>
      </c>
      <c r="S771" s="19" t="s">
        <v>160</v>
      </c>
      <c r="T771" s="19" t="s">
        <v>160</v>
      </c>
      <c r="U771" s="42">
        <v>2</v>
      </c>
      <c r="V771" s="20" t="s">
        <v>160</v>
      </c>
      <c r="W771" s="20" t="s">
        <v>160</v>
      </c>
      <c r="X771" s="20" t="s">
        <v>160</v>
      </c>
      <c r="Y771" s="20" t="s">
        <v>160</v>
      </c>
      <c r="Z771" s="85"/>
      <c r="AA771" s="85"/>
      <c r="AB771" s="85"/>
      <c r="AC771" s="85"/>
      <c r="AD771" s="85"/>
      <c r="AE771" s="85"/>
      <c r="AF771" s="85"/>
      <c r="AG771" s="85"/>
      <c r="AH771" s="85"/>
      <c r="AI771" s="85"/>
      <c r="AJ771" s="85"/>
      <c r="AK771" s="85"/>
      <c r="AL771" s="85"/>
      <c r="AM771" s="85"/>
      <c r="AN771" s="85"/>
      <c r="AO771" s="85"/>
      <c r="AP771" s="85"/>
      <c r="AQ771" s="85"/>
      <c r="AR771" s="85"/>
      <c r="AS771" s="85"/>
      <c r="AT771" s="85"/>
      <c r="AU771" s="85"/>
      <c r="AV771" s="85"/>
      <c r="AW771" s="85"/>
      <c r="AX771" s="85"/>
      <c r="AY771" s="85"/>
      <c r="AZ771" s="85"/>
      <c r="BA771" s="85"/>
      <c r="BB771" s="85"/>
      <c r="BC771" s="85"/>
      <c r="BD771" s="85"/>
      <c r="BE771" s="85"/>
    </row>
    <row r="772" spans="1:57" s="94" customFormat="1" x14ac:dyDescent="0.25">
      <c r="A772" s="94" t="s">
        <v>2773</v>
      </c>
      <c r="B772" s="139" t="s">
        <v>2842</v>
      </c>
      <c r="C772" s="110" t="s">
        <v>727</v>
      </c>
      <c r="D772" s="153" t="s">
        <v>71</v>
      </c>
      <c r="E772" s="84">
        <f>57+53/60+13.3296/3600</f>
        <v>57.887036000000002</v>
      </c>
      <c r="F772" s="84">
        <f>11+35/60+36.9456/3600</f>
        <v>11.593596</v>
      </c>
      <c r="G772" s="178">
        <v>1.64</v>
      </c>
      <c r="H772" s="105" t="s">
        <v>150</v>
      </c>
      <c r="I772" s="105" t="s">
        <v>169</v>
      </c>
      <c r="J772" s="105" t="s">
        <v>169</v>
      </c>
      <c r="K772" s="105" t="s">
        <v>6</v>
      </c>
      <c r="L772" s="105" t="s">
        <v>2031</v>
      </c>
      <c r="M772" s="105" t="s">
        <v>2653</v>
      </c>
      <c r="N772" s="106" t="s">
        <v>1108</v>
      </c>
      <c r="O772" s="106" t="s">
        <v>160</v>
      </c>
      <c r="P772" s="106" t="s">
        <v>160</v>
      </c>
      <c r="Q772" s="107" t="s">
        <v>1195</v>
      </c>
      <c r="R772" s="108"/>
      <c r="S772" s="108" t="s">
        <v>160</v>
      </c>
      <c r="T772" s="108" t="s">
        <v>160</v>
      </c>
      <c r="U772" s="106">
        <v>2</v>
      </c>
      <c r="V772" s="103" t="s">
        <v>160</v>
      </c>
      <c r="W772" s="103" t="s">
        <v>160</v>
      </c>
      <c r="X772" s="103" t="s">
        <v>160</v>
      </c>
      <c r="Y772" s="103" t="s">
        <v>160</v>
      </c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  <c r="BD772" s="103"/>
      <c r="BE772" s="103"/>
    </row>
    <row r="773" spans="1:57" x14ac:dyDescent="0.25">
      <c r="A773" s="9" t="s">
        <v>8</v>
      </c>
      <c r="B773" s="142" t="s">
        <v>2921</v>
      </c>
      <c r="C773" s="23" t="s">
        <v>727</v>
      </c>
      <c r="D773" s="24" t="s">
        <v>727</v>
      </c>
      <c r="E773" s="193">
        <v>57.887</v>
      </c>
      <c r="F773" s="193">
        <v>11.5937</v>
      </c>
      <c r="G773" s="43"/>
      <c r="H773" s="7" t="s">
        <v>150</v>
      </c>
      <c r="I773" s="7" t="s">
        <v>169</v>
      </c>
      <c r="J773" s="7" t="s">
        <v>169</v>
      </c>
      <c r="K773" s="7" t="s">
        <v>6</v>
      </c>
      <c r="L773" s="7" t="s">
        <v>2031</v>
      </c>
      <c r="M773" s="7" t="s">
        <v>2653</v>
      </c>
      <c r="N773" s="42" t="s">
        <v>1108</v>
      </c>
      <c r="O773" s="42" t="s">
        <v>160</v>
      </c>
      <c r="P773" s="42" t="s">
        <v>160</v>
      </c>
      <c r="Q773" s="44" t="s">
        <v>1195</v>
      </c>
      <c r="S773" s="19" t="s">
        <v>160</v>
      </c>
      <c r="T773" s="19" t="s">
        <v>160</v>
      </c>
      <c r="U773" s="42">
        <v>2</v>
      </c>
      <c r="V773" s="20" t="s">
        <v>160</v>
      </c>
      <c r="W773" s="20" t="s">
        <v>160</v>
      </c>
      <c r="X773" s="20" t="s">
        <v>160</v>
      </c>
      <c r="Y773" s="20" t="s">
        <v>160</v>
      </c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  <c r="BE773" s="20"/>
    </row>
    <row r="774" spans="1:57" x14ac:dyDescent="0.25">
      <c r="A774" s="9" t="s">
        <v>706</v>
      </c>
      <c r="B774" s="140">
        <v>69</v>
      </c>
      <c r="C774" s="23" t="s">
        <v>727</v>
      </c>
      <c r="D774" s="62" t="s">
        <v>71</v>
      </c>
      <c r="E774" s="3">
        <f>57+53/60+13/3600</f>
        <v>57.886944444444445</v>
      </c>
      <c r="F774" s="3">
        <f>11+35/60+37/3600</f>
        <v>11.593611111111112</v>
      </c>
      <c r="G774" s="43"/>
      <c r="H774" s="9" t="s">
        <v>150</v>
      </c>
      <c r="I774" s="7" t="s">
        <v>169</v>
      </c>
      <c r="J774" s="7" t="s">
        <v>169</v>
      </c>
      <c r="K774" s="9" t="s">
        <v>6</v>
      </c>
      <c r="L774" s="7" t="s">
        <v>2031</v>
      </c>
      <c r="M774" s="7" t="s">
        <v>2653</v>
      </c>
      <c r="N774" s="42" t="s">
        <v>1108</v>
      </c>
      <c r="O774" s="42" t="s">
        <v>160</v>
      </c>
      <c r="P774" s="42" t="s">
        <v>160</v>
      </c>
      <c r="Q774" s="44" t="s">
        <v>1195</v>
      </c>
      <c r="S774" s="19" t="s">
        <v>160</v>
      </c>
      <c r="T774" s="19" t="s">
        <v>160</v>
      </c>
      <c r="U774" s="19">
        <v>2</v>
      </c>
      <c r="V774" s="19" t="s">
        <v>160</v>
      </c>
      <c r="W774" s="19" t="s">
        <v>160</v>
      </c>
      <c r="X774" s="19" t="s">
        <v>160</v>
      </c>
      <c r="Y774" s="19" t="s">
        <v>160</v>
      </c>
      <c r="BB774" s="19"/>
      <c r="BC774" s="19"/>
      <c r="BD774" s="19"/>
      <c r="BE774" s="19"/>
    </row>
    <row r="775" spans="1:57" s="94" customFormat="1" x14ac:dyDescent="0.25">
      <c r="A775" s="94" t="s">
        <v>2773</v>
      </c>
      <c r="B775" s="145" t="s">
        <v>2841</v>
      </c>
      <c r="C775" s="110" t="s">
        <v>797</v>
      </c>
      <c r="D775" s="184" t="s">
        <v>797</v>
      </c>
      <c r="E775" s="101">
        <f>58+33/60+13.28/3600</f>
        <v>58.553688888888885</v>
      </c>
      <c r="F775" s="101">
        <f>16+50/60+14.6/3600</f>
        <v>16.837388888888889</v>
      </c>
      <c r="G775" s="82"/>
      <c r="H775" s="94" t="s">
        <v>150</v>
      </c>
      <c r="I775" s="112" t="s">
        <v>8</v>
      </c>
      <c r="J775" s="113" t="s">
        <v>8</v>
      </c>
      <c r="K775" s="112" t="s">
        <v>6</v>
      </c>
      <c r="L775" s="113" t="s">
        <v>2031</v>
      </c>
      <c r="M775" s="105" t="s">
        <v>717</v>
      </c>
      <c r="N775" s="108" t="s">
        <v>1190</v>
      </c>
      <c r="O775" s="104"/>
      <c r="P775" s="106" t="s">
        <v>160</v>
      </c>
      <c r="Q775" s="108" t="s">
        <v>1167</v>
      </c>
      <c r="R775" s="107" t="s">
        <v>1607</v>
      </c>
      <c r="S775" s="108" t="s">
        <v>160</v>
      </c>
      <c r="T775" s="108" t="s">
        <v>160</v>
      </c>
      <c r="U775" s="108">
        <v>4</v>
      </c>
      <c r="V775" s="106" t="s">
        <v>160</v>
      </c>
      <c r="W775" s="106"/>
      <c r="X775" s="106" t="s">
        <v>160</v>
      </c>
      <c r="Y775" s="106"/>
      <c r="Z775" s="106"/>
      <c r="AA775" s="106"/>
      <c r="AB775" s="106"/>
      <c r="AC775" s="106"/>
      <c r="AD775" s="106"/>
      <c r="AE775" s="106"/>
      <c r="AF775" s="106"/>
      <c r="AG775" s="106"/>
      <c r="AH775" s="106"/>
      <c r="AI775" s="106"/>
      <c r="AJ775" s="106"/>
      <c r="AK775" s="106"/>
      <c r="AL775" s="106"/>
      <c r="AM775" s="106"/>
      <c r="AN775" s="106"/>
      <c r="AO775" s="106"/>
      <c r="AP775" s="106"/>
      <c r="AQ775" s="106"/>
      <c r="AR775" s="106"/>
      <c r="AS775" s="106"/>
      <c r="AT775" s="108"/>
      <c r="AU775" s="108"/>
      <c r="AV775" s="108"/>
      <c r="AW775" s="108"/>
      <c r="AX775" s="108"/>
      <c r="AY775" s="108"/>
      <c r="AZ775" s="106"/>
      <c r="BA775" s="106"/>
      <c r="BB775" s="106"/>
      <c r="BC775" s="106"/>
      <c r="BD775" s="106"/>
      <c r="BE775" s="106"/>
    </row>
    <row r="776" spans="1:57" x14ac:dyDescent="0.25">
      <c r="A776" s="9" t="s">
        <v>8</v>
      </c>
      <c r="B776" s="137" t="s">
        <v>2922</v>
      </c>
      <c r="C776" s="23" t="s">
        <v>797</v>
      </c>
      <c r="D776" t="s">
        <v>797</v>
      </c>
      <c r="E776" s="193">
        <v>58.553699999999999</v>
      </c>
      <c r="F776" s="193">
        <v>16.8371</v>
      </c>
      <c r="H776" s="9" t="s">
        <v>150</v>
      </c>
      <c r="I776" s="40" t="s">
        <v>8</v>
      </c>
      <c r="J776" s="41" t="s">
        <v>8</v>
      </c>
      <c r="K776" s="40" t="s">
        <v>6</v>
      </c>
      <c r="L776" s="41" t="s">
        <v>2031</v>
      </c>
      <c r="M776" s="7" t="s">
        <v>717</v>
      </c>
      <c r="N776" s="19" t="s">
        <v>1190</v>
      </c>
      <c r="O776" s="22"/>
      <c r="P776" s="42" t="s">
        <v>160</v>
      </c>
      <c r="Q776" s="19" t="s">
        <v>1167</v>
      </c>
      <c r="R776" s="44" t="s">
        <v>1607</v>
      </c>
      <c r="S776" s="19" t="s">
        <v>160</v>
      </c>
      <c r="T776" s="19" t="s">
        <v>160</v>
      </c>
      <c r="U776" s="19">
        <v>4</v>
      </c>
      <c r="V776" s="42" t="s">
        <v>160</v>
      </c>
      <c r="W776" s="42"/>
      <c r="X776" s="42" t="s">
        <v>160</v>
      </c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2"/>
      <c r="AJ776" s="42"/>
      <c r="AK776" s="42"/>
      <c r="AL776" s="42"/>
      <c r="AM776" s="42"/>
      <c r="AN776" s="42"/>
      <c r="AO776" s="42"/>
      <c r="AP776" s="42"/>
      <c r="AQ776" s="42"/>
      <c r="AR776" s="42"/>
      <c r="AS776" s="42"/>
      <c r="AZ776" s="42"/>
      <c r="BA776" s="42"/>
      <c r="BB776" s="42"/>
      <c r="BC776" s="42"/>
      <c r="BD776" s="42"/>
      <c r="BE776" s="42"/>
    </row>
    <row r="777" spans="1:57" x14ac:dyDescent="0.25">
      <c r="A777" s="9" t="s">
        <v>706</v>
      </c>
      <c r="B777" s="144">
        <v>13</v>
      </c>
      <c r="C777" s="23" t="s">
        <v>797</v>
      </c>
      <c r="D777" s="77" t="s">
        <v>72</v>
      </c>
      <c r="E777" s="5">
        <f>58+33/60+13/3600</f>
        <v>58.55361111111111</v>
      </c>
      <c r="F777" s="35">
        <f>16+50/60+14/3600</f>
        <v>16.83722222222222</v>
      </c>
      <c r="H777" s="9" t="s">
        <v>150</v>
      </c>
      <c r="I777" s="9" t="s">
        <v>8</v>
      </c>
      <c r="J777" s="7" t="s">
        <v>8</v>
      </c>
      <c r="K777" s="9" t="s">
        <v>6</v>
      </c>
      <c r="L777" s="7" t="s">
        <v>2031</v>
      </c>
      <c r="M777" s="7" t="s">
        <v>717</v>
      </c>
      <c r="N777" s="19" t="s">
        <v>1190</v>
      </c>
      <c r="O777" s="22"/>
      <c r="P777" s="42" t="s">
        <v>160</v>
      </c>
      <c r="Q777" s="19" t="s">
        <v>1167</v>
      </c>
      <c r="R777" s="44" t="s">
        <v>1607</v>
      </c>
      <c r="S777" s="19" t="s">
        <v>160</v>
      </c>
      <c r="T777" s="19" t="s">
        <v>160</v>
      </c>
      <c r="U777" s="19">
        <v>4</v>
      </c>
      <c r="V777" s="19" t="s">
        <v>160</v>
      </c>
      <c r="X777" s="19" t="s">
        <v>160</v>
      </c>
      <c r="BB777" s="19"/>
      <c r="BC777" s="19"/>
      <c r="BD777" s="19"/>
      <c r="BE777" s="19"/>
    </row>
    <row r="778" spans="1:57" x14ac:dyDescent="0.25">
      <c r="A778" s="6" t="s">
        <v>8</v>
      </c>
      <c r="B778" s="9">
        <v>86330</v>
      </c>
      <c r="C778" s="9" t="s">
        <v>2315</v>
      </c>
      <c r="D778" s="9" t="s">
        <v>797</v>
      </c>
      <c r="E778" s="3">
        <v>58.549100000000003</v>
      </c>
      <c r="F778" s="3">
        <v>16.8157</v>
      </c>
      <c r="G778" s="9">
        <v>10</v>
      </c>
      <c r="H778" s="3" t="s">
        <v>150</v>
      </c>
      <c r="I778" s="6" t="s">
        <v>8</v>
      </c>
      <c r="J778" s="21" t="s">
        <v>8</v>
      </c>
      <c r="K778" s="3" t="s">
        <v>5</v>
      </c>
      <c r="L778" s="5" t="s">
        <v>2028</v>
      </c>
      <c r="M778" s="5" t="s">
        <v>717</v>
      </c>
      <c r="N778" s="19" t="s">
        <v>2573</v>
      </c>
      <c r="O778" s="22"/>
      <c r="P778" s="19" t="s">
        <v>160</v>
      </c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19" t="s">
        <v>160</v>
      </c>
      <c r="BB778" s="19"/>
      <c r="BC778" s="19"/>
      <c r="BD778" s="19"/>
      <c r="BE778" s="19"/>
    </row>
    <row r="779" spans="1:57" x14ac:dyDescent="0.25">
      <c r="A779" s="9" t="s">
        <v>8</v>
      </c>
      <c r="B779" s="27">
        <v>37308</v>
      </c>
      <c r="C779" s="28" t="s">
        <v>1955</v>
      </c>
      <c r="D779" s="28" t="s">
        <v>1459</v>
      </c>
      <c r="E779" s="25">
        <v>58.1</v>
      </c>
      <c r="F779" s="25">
        <v>11.333299999999999</v>
      </c>
      <c r="H779" s="9" t="s">
        <v>150</v>
      </c>
      <c r="I779" s="6" t="s">
        <v>8</v>
      </c>
      <c r="J779" s="21" t="s">
        <v>8</v>
      </c>
      <c r="K779" s="6" t="s">
        <v>2455</v>
      </c>
      <c r="L779" s="7" t="s">
        <v>2027</v>
      </c>
      <c r="M779" s="28" t="s">
        <v>717</v>
      </c>
      <c r="N779" s="19" t="s">
        <v>1811</v>
      </c>
      <c r="O779" s="22"/>
      <c r="T779" s="7"/>
      <c r="X779" s="19" t="s">
        <v>160</v>
      </c>
      <c r="BA779" s="7"/>
      <c r="BB779" s="7"/>
      <c r="BC779" s="7"/>
      <c r="BD779" s="7"/>
      <c r="BE779" s="7"/>
    </row>
    <row r="780" spans="1:57" x14ac:dyDescent="0.25">
      <c r="A780" s="6" t="s">
        <v>8</v>
      </c>
      <c r="B780" s="9">
        <v>81060</v>
      </c>
      <c r="C780" s="9" t="s">
        <v>2404</v>
      </c>
      <c r="D780" s="9" t="s">
        <v>1459</v>
      </c>
      <c r="E780" s="3">
        <v>58.0944</v>
      </c>
      <c r="F780" s="3">
        <v>11.3348</v>
      </c>
      <c r="G780" s="9">
        <v>14</v>
      </c>
      <c r="H780" s="9" t="s">
        <v>150</v>
      </c>
      <c r="I780" s="6" t="s">
        <v>8</v>
      </c>
      <c r="J780" s="21" t="s">
        <v>8</v>
      </c>
      <c r="K780" s="3" t="s">
        <v>5</v>
      </c>
      <c r="L780" s="5" t="s">
        <v>2680</v>
      </c>
      <c r="M780" s="7" t="s">
        <v>717</v>
      </c>
      <c r="N780" s="19" t="s">
        <v>2572</v>
      </c>
      <c r="O780" s="22"/>
      <c r="P780" s="19" t="s">
        <v>160</v>
      </c>
      <c r="AR780" s="19" t="s">
        <v>160</v>
      </c>
      <c r="AT780" s="19" t="s">
        <v>160</v>
      </c>
      <c r="AV780" s="19" t="s">
        <v>160</v>
      </c>
      <c r="AX780" s="19" t="s">
        <v>160</v>
      </c>
      <c r="AZ780" s="19" t="s">
        <v>160</v>
      </c>
      <c r="BB780" s="19"/>
      <c r="BC780" s="19"/>
      <c r="BD780" s="19"/>
      <c r="BE780" s="19"/>
    </row>
    <row r="781" spans="1:57" s="94" customFormat="1" x14ac:dyDescent="0.25">
      <c r="A781" s="32" t="s">
        <v>707</v>
      </c>
      <c r="B781" s="33"/>
      <c r="C781" s="33" t="s">
        <v>1460</v>
      </c>
      <c r="D781" s="33" t="s">
        <v>1461</v>
      </c>
      <c r="E781" s="35"/>
      <c r="F781" s="35"/>
      <c r="G781" s="33"/>
      <c r="H781" s="33" t="s">
        <v>150</v>
      </c>
      <c r="I781" s="21" t="s">
        <v>8</v>
      </c>
      <c r="J781" s="32" t="s">
        <v>8</v>
      </c>
      <c r="K781" s="35" t="s">
        <v>5</v>
      </c>
      <c r="L781" s="35" t="s">
        <v>2043</v>
      </c>
      <c r="M781" s="33" t="s">
        <v>2653</v>
      </c>
      <c r="N781" s="37"/>
      <c r="O781" s="67"/>
      <c r="P781" s="37" t="s">
        <v>160</v>
      </c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  <c r="AL781" s="37"/>
      <c r="AM781" s="37"/>
      <c r="AN781" s="37"/>
      <c r="AO781" s="37"/>
      <c r="AP781" s="37"/>
      <c r="AQ781" s="37"/>
      <c r="AR781" s="37" t="s">
        <v>160</v>
      </c>
      <c r="AS781" s="37" t="s">
        <v>160</v>
      </c>
      <c r="AT781" s="37"/>
      <c r="AU781" s="37"/>
      <c r="AV781" s="37"/>
      <c r="AW781" s="37"/>
      <c r="AX781" s="37"/>
      <c r="AY781" s="37"/>
      <c r="AZ781" s="37"/>
      <c r="BA781" s="37"/>
      <c r="BB781" s="37"/>
      <c r="BC781" s="37"/>
      <c r="BD781" s="37"/>
      <c r="BE781" s="37"/>
    </row>
    <row r="782" spans="1:57" x14ac:dyDescent="0.25">
      <c r="A782" s="114" t="s">
        <v>2773</v>
      </c>
      <c r="B782" s="94" t="s">
        <v>2973</v>
      </c>
      <c r="C782" s="94" t="s">
        <v>1460</v>
      </c>
      <c r="D782" s="163" t="s">
        <v>1461</v>
      </c>
      <c r="E782" s="93">
        <f>58+5/60+37.32/3600</f>
        <v>58.093700000000005</v>
      </c>
      <c r="F782" s="93">
        <f>11+19/60+52.32/3600</f>
        <v>11.331199999999999</v>
      </c>
      <c r="G782" s="94">
        <v>14.973000000000001</v>
      </c>
      <c r="H782" s="94" t="s">
        <v>150</v>
      </c>
      <c r="I782" s="122" t="s">
        <v>8</v>
      </c>
      <c r="J782" s="122" t="s">
        <v>8</v>
      </c>
      <c r="K782" s="82" t="s">
        <v>5</v>
      </c>
      <c r="L782" s="93" t="s">
        <v>2681</v>
      </c>
      <c r="M782" s="105" t="s">
        <v>2653</v>
      </c>
      <c r="N782" s="108" t="s">
        <v>2303</v>
      </c>
      <c r="O782" s="104"/>
      <c r="P782" s="108" t="s">
        <v>160</v>
      </c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  <c r="AA782" s="108"/>
      <c r="AB782" s="108"/>
      <c r="AC782" s="108"/>
      <c r="AD782" s="108"/>
      <c r="AE782" s="108"/>
      <c r="AF782" s="108"/>
      <c r="AG782" s="108"/>
      <c r="AH782" s="108"/>
      <c r="AI782" s="108"/>
      <c r="AJ782" s="108"/>
      <c r="AK782" s="108"/>
      <c r="AL782" s="108"/>
      <c r="AM782" s="108"/>
      <c r="AN782" s="108"/>
      <c r="AO782" s="108"/>
      <c r="AP782" s="108"/>
      <c r="AQ782" s="108"/>
      <c r="AR782" s="108" t="s">
        <v>160</v>
      </c>
      <c r="AS782" s="108" t="s">
        <v>160</v>
      </c>
      <c r="AT782" s="108" t="s">
        <v>160</v>
      </c>
      <c r="AU782" s="108" t="s">
        <v>160</v>
      </c>
      <c r="AV782" s="108"/>
      <c r="AW782" s="108"/>
      <c r="AX782" s="108" t="s">
        <v>160</v>
      </c>
      <c r="AY782" s="108" t="s">
        <v>160</v>
      </c>
      <c r="AZ782" s="108" t="s">
        <v>160</v>
      </c>
      <c r="BA782" s="108" t="s">
        <v>160</v>
      </c>
      <c r="BB782" s="108"/>
      <c r="BC782" s="108"/>
      <c r="BD782" s="108"/>
      <c r="BE782" s="108"/>
    </row>
    <row r="783" spans="1:57" s="33" customFormat="1" x14ac:dyDescent="0.25">
      <c r="A783" s="6" t="s">
        <v>8</v>
      </c>
      <c r="B783" s="9">
        <v>81050</v>
      </c>
      <c r="C783" s="9" t="s">
        <v>1460</v>
      </c>
      <c r="D783" s="9" t="s">
        <v>1461</v>
      </c>
      <c r="E783" s="5">
        <f>58+5/60+37.32/3600</f>
        <v>58.093700000000005</v>
      </c>
      <c r="F783" s="5">
        <f>11+19/60+52.32/3600</f>
        <v>11.331199999999999</v>
      </c>
      <c r="G783" s="9">
        <v>14.973000000000001</v>
      </c>
      <c r="H783" s="9" t="s">
        <v>150</v>
      </c>
      <c r="I783" s="21" t="s">
        <v>8</v>
      </c>
      <c r="J783" s="21" t="s">
        <v>8</v>
      </c>
      <c r="K783" s="3" t="s">
        <v>5</v>
      </c>
      <c r="L783" s="5" t="s">
        <v>2681</v>
      </c>
      <c r="M783" s="7" t="s">
        <v>2653</v>
      </c>
      <c r="N783" s="19" t="s">
        <v>2303</v>
      </c>
      <c r="O783" s="22"/>
      <c r="P783" s="19" t="s">
        <v>160</v>
      </c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 t="s">
        <v>160</v>
      </c>
      <c r="AS783" s="19" t="s">
        <v>160</v>
      </c>
      <c r="AT783" s="19" t="s">
        <v>160</v>
      </c>
      <c r="AU783" s="19" t="s">
        <v>160</v>
      </c>
      <c r="AV783" s="19"/>
      <c r="AW783" s="19"/>
      <c r="AX783" s="19" t="s">
        <v>160</v>
      </c>
      <c r="AY783" s="19" t="s">
        <v>160</v>
      </c>
      <c r="AZ783" s="19" t="s">
        <v>160</v>
      </c>
      <c r="BA783" s="19" t="s">
        <v>160</v>
      </c>
      <c r="BB783" s="19"/>
      <c r="BC783" s="19"/>
      <c r="BD783" s="19"/>
      <c r="BE783" s="19"/>
    </row>
    <row r="784" spans="1:57" x14ac:dyDescent="0.25">
      <c r="A784" s="6" t="s">
        <v>706</v>
      </c>
      <c r="B784" s="9">
        <v>218</v>
      </c>
      <c r="C784" s="9" t="s">
        <v>1460</v>
      </c>
      <c r="D784" s="88" t="s">
        <v>2654</v>
      </c>
      <c r="E784" s="3">
        <f>58+5/60+37/3600</f>
        <v>58.093611111111116</v>
      </c>
      <c r="F784" s="3">
        <f>11+19/60+52/3600</f>
        <v>11.331111111111111</v>
      </c>
      <c r="G784" s="9"/>
      <c r="H784" s="9" t="s">
        <v>150</v>
      </c>
      <c r="I784" s="21" t="s">
        <v>8</v>
      </c>
      <c r="J784" s="21" t="s">
        <v>8</v>
      </c>
      <c r="K784" s="3" t="s">
        <v>5</v>
      </c>
      <c r="L784" s="5" t="s">
        <v>2043</v>
      </c>
      <c r="M784" s="7" t="s">
        <v>2653</v>
      </c>
      <c r="O784" s="22"/>
      <c r="P784" s="19" t="s">
        <v>160</v>
      </c>
      <c r="AR784" s="19" t="s">
        <v>160</v>
      </c>
      <c r="AS784" s="19" t="s">
        <v>160</v>
      </c>
      <c r="BB784" s="19"/>
      <c r="BC784" s="19"/>
      <c r="BD784" s="19"/>
      <c r="BE784" s="19"/>
    </row>
    <row r="785" spans="1:57" x14ac:dyDescent="0.25">
      <c r="A785" s="6" t="s">
        <v>8</v>
      </c>
      <c r="B785" s="9">
        <v>78320</v>
      </c>
      <c r="C785" s="9" t="s">
        <v>2613</v>
      </c>
      <c r="D785" s="9" t="s">
        <v>2600</v>
      </c>
      <c r="E785" s="52">
        <v>57.472499999999997</v>
      </c>
      <c r="F785" s="52">
        <v>18.273900000000001</v>
      </c>
      <c r="G785" s="73">
        <v>36.384999999999998</v>
      </c>
      <c r="H785" s="9"/>
      <c r="I785" s="21" t="s">
        <v>8</v>
      </c>
      <c r="J785" s="21" t="s">
        <v>8</v>
      </c>
      <c r="K785" s="3" t="s">
        <v>5</v>
      </c>
      <c r="L785" s="5" t="s">
        <v>2028</v>
      </c>
      <c r="M785" s="7" t="s">
        <v>2653</v>
      </c>
      <c r="N785" s="19" t="s">
        <v>1127</v>
      </c>
      <c r="O785" s="22"/>
      <c r="P785" s="19" t="s">
        <v>160</v>
      </c>
      <c r="AT785" s="19" t="s">
        <v>160</v>
      </c>
      <c r="AU785" s="19" t="s">
        <v>160</v>
      </c>
      <c r="BB785" s="19"/>
      <c r="BC785" s="19"/>
      <c r="BD785" s="19"/>
      <c r="BE785" s="19"/>
    </row>
    <row r="786" spans="1:57" s="94" customFormat="1" x14ac:dyDescent="0.25">
      <c r="A786" s="9" t="s">
        <v>707</v>
      </c>
      <c r="B786" s="137" t="s">
        <v>440</v>
      </c>
      <c r="C786" s="23" t="s">
        <v>864</v>
      </c>
      <c r="D786" s="40" t="s">
        <v>441</v>
      </c>
      <c r="E786" s="46" t="s">
        <v>2215</v>
      </c>
      <c r="F786" s="46" t="s">
        <v>2212</v>
      </c>
      <c r="G786" s="40"/>
      <c r="H786" s="9" t="s">
        <v>150</v>
      </c>
      <c r="I786" s="41" t="s">
        <v>360</v>
      </c>
      <c r="J786" s="41" t="s">
        <v>169</v>
      </c>
      <c r="K786" s="40" t="s">
        <v>952</v>
      </c>
      <c r="L786" s="41" t="s">
        <v>2696</v>
      </c>
      <c r="M786" s="7" t="s">
        <v>2653</v>
      </c>
      <c r="N786" s="19" t="s">
        <v>1108</v>
      </c>
      <c r="O786" s="42" t="s">
        <v>160</v>
      </c>
      <c r="P786" s="19" t="s">
        <v>160</v>
      </c>
      <c r="Q786" s="19" t="s">
        <v>1644</v>
      </c>
      <c r="R786" s="19"/>
      <c r="S786" s="19"/>
      <c r="T786" s="19"/>
      <c r="U786" s="19">
        <v>4</v>
      </c>
      <c r="V786" s="42" t="s">
        <v>160</v>
      </c>
      <c r="W786" s="42"/>
      <c r="X786" s="42" t="s">
        <v>160</v>
      </c>
      <c r="Y786" s="42" t="s">
        <v>160</v>
      </c>
      <c r="Z786" s="42"/>
      <c r="AA786" s="42"/>
      <c r="AB786" s="42"/>
      <c r="AC786" s="42"/>
      <c r="AD786" s="42"/>
      <c r="AE786" s="42"/>
      <c r="AF786" s="42"/>
      <c r="AG786" s="42"/>
      <c r="AH786" s="42"/>
      <c r="AI786" s="42"/>
      <c r="AJ786" s="42"/>
      <c r="AK786" s="42"/>
      <c r="AL786" s="42" t="s">
        <v>160</v>
      </c>
      <c r="AM786" s="42" t="s">
        <v>160</v>
      </c>
      <c r="AN786" s="42"/>
      <c r="AO786" s="42"/>
      <c r="AP786" s="42"/>
      <c r="AQ786" s="42"/>
      <c r="AR786" s="42" t="s">
        <v>160</v>
      </c>
      <c r="AS786" s="42" t="s">
        <v>160</v>
      </c>
      <c r="AT786" s="19" t="s">
        <v>160</v>
      </c>
      <c r="AU786" s="19" t="s">
        <v>160</v>
      </c>
      <c r="AV786" s="19" t="s">
        <v>160</v>
      </c>
      <c r="AW786" s="19" t="s">
        <v>160</v>
      </c>
      <c r="AX786" s="19"/>
      <c r="AY786" s="19"/>
      <c r="AZ786" s="42" t="s">
        <v>160</v>
      </c>
      <c r="BA786" s="42" t="s">
        <v>160</v>
      </c>
      <c r="BB786" s="42"/>
      <c r="BC786" s="42"/>
      <c r="BD786" s="42"/>
      <c r="BE786" s="42"/>
    </row>
    <row r="787" spans="1:57" x14ac:dyDescent="0.25">
      <c r="A787" s="105" t="s">
        <v>2773</v>
      </c>
      <c r="B787" s="139" t="s">
        <v>2840</v>
      </c>
      <c r="C787" s="110" t="s">
        <v>864</v>
      </c>
      <c r="D787" s="153" t="s">
        <v>75</v>
      </c>
      <c r="E787" s="81">
        <f>57+40/60+20.388/3600</f>
        <v>57.672329999999995</v>
      </c>
      <c r="F787" s="81">
        <f>11+42/60+26.917/3600</f>
        <v>11.707476944444444</v>
      </c>
      <c r="G787" s="81"/>
      <c r="H787" s="105" t="s">
        <v>150</v>
      </c>
      <c r="I787" s="105" t="s">
        <v>360</v>
      </c>
      <c r="J787" s="105" t="s">
        <v>169</v>
      </c>
      <c r="K787" s="105" t="s">
        <v>954</v>
      </c>
      <c r="L787" s="105" t="s">
        <v>2696</v>
      </c>
      <c r="M787" s="105" t="s">
        <v>2653</v>
      </c>
      <c r="N787" s="108" t="s">
        <v>1108</v>
      </c>
      <c r="O787" s="106" t="s">
        <v>160</v>
      </c>
      <c r="P787" s="108" t="s">
        <v>160</v>
      </c>
      <c r="Q787" s="108" t="s">
        <v>1644</v>
      </c>
      <c r="R787" s="108"/>
      <c r="S787" s="108"/>
      <c r="T787" s="108"/>
      <c r="U787" s="106">
        <v>4</v>
      </c>
      <c r="V787" s="103" t="s">
        <v>160</v>
      </c>
      <c r="W787" s="103"/>
      <c r="X787" s="103" t="s">
        <v>160</v>
      </c>
      <c r="Y787" s="103" t="s">
        <v>160</v>
      </c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 t="s">
        <v>160</v>
      </c>
      <c r="AM787" s="103" t="s">
        <v>160</v>
      </c>
      <c r="AN787" s="103"/>
      <c r="AO787" s="103"/>
      <c r="AP787" s="103"/>
      <c r="AQ787" s="103"/>
      <c r="AR787" s="103" t="s">
        <v>160</v>
      </c>
      <c r="AS787" s="103" t="s">
        <v>160</v>
      </c>
      <c r="AT787" s="103" t="s">
        <v>160</v>
      </c>
      <c r="AU787" s="103" t="s">
        <v>160</v>
      </c>
      <c r="AV787" s="103" t="s">
        <v>160</v>
      </c>
      <c r="AW787" s="103" t="s">
        <v>160</v>
      </c>
      <c r="AX787" s="103"/>
      <c r="AY787" s="103"/>
      <c r="AZ787" s="103" t="s">
        <v>160</v>
      </c>
      <c r="BA787" s="103" t="s">
        <v>160</v>
      </c>
      <c r="BB787" s="103"/>
      <c r="BC787" s="103"/>
      <c r="BD787" s="103"/>
      <c r="BE787" s="103"/>
    </row>
    <row r="788" spans="1:57" x14ac:dyDescent="0.25">
      <c r="A788" s="7" t="s">
        <v>8</v>
      </c>
      <c r="B788" s="142" t="s">
        <v>2923</v>
      </c>
      <c r="C788" s="23" t="s">
        <v>864</v>
      </c>
      <c r="D788" s="24" t="s">
        <v>721</v>
      </c>
      <c r="E788" s="193">
        <v>57.6723</v>
      </c>
      <c r="F788" s="193">
        <v>11.7075</v>
      </c>
      <c r="G788" s="43"/>
      <c r="H788" s="7" t="s">
        <v>150</v>
      </c>
      <c r="I788" s="7" t="s">
        <v>360</v>
      </c>
      <c r="J788" s="7" t="s">
        <v>169</v>
      </c>
      <c r="K788" s="7" t="s">
        <v>954</v>
      </c>
      <c r="L788" s="7" t="s">
        <v>2696</v>
      </c>
      <c r="M788" s="7" t="s">
        <v>2653</v>
      </c>
      <c r="N788" s="19" t="s">
        <v>1108</v>
      </c>
      <c r="O788" s="42" t="s">
        <v>160</v>
      </c>
      <c r="P788" s="19" t="s">
        <v>160</v>
      </c>
      <c r="Q788" s="19" t="s">
        <v>1644</v>
      </c>
      <c r="U788" s="42">
        <v>4</v>
      </c>
      <c r="V788" s="20" t="s">
        <v>160</v>
      </c>
      <c r="W788" s="20"/>
      <c r="X788" s="20" t="s">
        <v>160</v>
      </c>
      <c r="Y788" s="20" t="s">
        <v>160</v>
      </c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 t="s">
        <v>160</v>
      </c>
      <c r="AM788" s="20" t="s">
        <v>160</v>
      </c>
      <c r="AN788" s="20"/>
      <c r="AO788" s="20"/>
      <c r="AP788" s="20"/>
      <c r="AQ788" s="20"/>
      <c r="AR788" s="20" t="s">
        <v>160</v>
      </c>
      <c r="AS788" s="20" t="s">
        <v>160</v>
      </c>
      <c r="AT788" s="20" t="s">
        <v>160</v>
      </c>
      <c r="AU788" s="20" t="s">
        <v>160</v>
      </c>
      <c r="AV788" s="20" t="s">
        <v>160</v>
      </c>
      <c r="AW788" s="20" t="s">
        <v>160</v>
      </c>
      <c r="AX788" s="20"/>
      <c r="AY788" s="20"/>
      <c r="AZ788" s="20" t="s">
        <v>160</v>
      </c>
      <c r="BA788" s="20" t="s">
        <v>160</v>
      </c>
      <c r="BB788" s="20"/>
      <c r="BC788" s="20"/>
      <c r="BD788" s="20"/>
      <c r="BE788" s="20"/>
    </row>
    <row r="789" spans="1:57" x14ac:dyDescent="0.25">
      <c r="A789" s="9" t="s">
        <v>706</v>
      </c>
      <c r="B789" s="140">
        <v>100</v>
      </c>
      <c r="C789" s="23" t="s">
        <v>864</v>
      </c>
      <c r="D789" s="62" t="s">
        <v>75</v>
      </c>
      <c r="E789" s="35">
        <f>57+40/60+20/3600</f>
        <v>57.672222222222217</v>
      </c>
      <c r="F789" s="35">
        <f>11+42/60+27/3600</f>
        <v>11.7075</v>
      </c>
      <c r="G789" s="43"/>
      <c r="H789" s="9" t="s">
        <v>150</v>
      </c>
      <c r="I789" s="7" t="s">
        <v>360</v>
      </c>
      <c r="J789" s="7" t="s">
        <v>169</v>
      </c>
      <c r="K789" s="9" t="s">
        <v>954</v>
      </c>
      <c r="L789" s="7" t="s">
        <v>2696</v>
      </c>
      <c r="M789" s="7" t="s">
        <v>2653</v>
      </c>
      <c r="N789" s="19" t="s">
        <v>1108</v>
      </c>
      <c r="O789" s="42" t="s">
        <v>160</v>
      </c>
      <c r="P789" s="19" t="s">
        <v>160</v>
      </c>
      <c r="Q789" s="19" t="s">
        <v>1644</v>
      </c>
      <c r="U789" s="19">
        <v>4</v>
      </c>
      <c r="V789" s="19" t="s">
        <v>160</v>
      </c>
      <c r="X789" s="19" t="s">
        <v>160</v>
      </c>
      <c r="Y789" s="19" t="s">
        <v>160</v>
      </c>
      <c r="AL789" s="19" t="s">
        <v>160</v>
      </c>
      <c r="AM789" s="19" t="s">
        <v>160</v>
      </c>
      <c r="AR789" s="19" t="s">
        <v>160</v>
      </c>
      <c r="AS789" s="19" t="s">
        <v>160</v>
      </c>
      <c r="AT789" s="19" t="s">
        <v>160</v>
      </c>
      <c r="AU789" s="19" t="s">
        <v>160</v>
      </c>
      <c r="AV789" s="19" t="s">
        <v>160</v>
      </c>
      <c r="AW789" s="19" t="s">
        <v>160</v>
      </c>
      <c r="AZ789" s="19" t="s">
        <v>160</v>
      </c>
      <c r="BA789" s="19" t="s">
        <v>160</v>
      </c>
      <c r="BB789" s="19"/>
      <c r="BC789" s="19"/>
      <c r="BD789" s="19"/>
      <c r="BE789" s="19"/>
    </row>
    <row r="790" spans="1:57" s="94" customFormat="1" x14ac:dyDescent="0.25">
      <c r="A790" s="98" t="s">
        <v>2773</v>
      </c>
      <c r="B790" s="135">
        <v>2077</v>
      </c>
      <c r="C790" s="98" t="s">
        <v>1224</v>
      </c>
      <c r="D790" s="98" t="s">
        <v>1224</v>
      </c>
      <c r="E790" s="189">
        <f>58+28/60+48/3600</f>
        <v>58.480000000000004</v>
      </c>
      <c r="F790" s="189">
        <f>16+25/60+12/3600</f>
        <v>16.420000000000002</v>
      </c>
      <c r="G790" s="101"/>
      <c r="H790" s="98" t="s">
        <v>150</v>
      </c>
      <c r="I790" s="98" t="s">
        <v>8</v>
      </c>
      <c r="J790" s="102" t="s">
        <v>8</v>
      </c>
      <c r="K790" s="98" t="s">
        <v>6</v>
      </c>
      <c r="L790" s="102" t="s">
        <v>2030</v>
      </c>
      <c r="M790" s="102" t="s">
        <v>717</v>
      </c>
      <c r="N790" s="104" t="s">
        <v>1300</v>
      </c>
      <c r="O790" s="104"/>
      <c r="P790" s="104"/>
      <c r="Q790" s="103" t="s">
        <v>1608</v>
      </c>
      <c r="R790" s="107" t="s">
        <v>2013</v>
      </c>
      <c r="S790" s="103"/>
      <c r="T790" s="103"/>
      <c r="U790" s="104">
        <v>4</v>
      </c>
      <c r="V790" s="103" t="s">
        <v>160</v>
      </c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  <c r="BD790" s="103"/>
      <c r="BE790" s="103"/>
    </row>
    <row r="791" spans="1:57" x14ac:dyDescent="0.25">
      <c r="A791" s="10" t="s">
        <v>8</v>
      </c>
      <c r="B791" s="155">
        <v>2077</v>
      </c>
      <c r="C791" s="10" t="s">
        <v>1224</v>
      </c>
      <c r="D791" s="10" t="s">
        <v>1224</v>
      </c>
      <c r="E791" s="195">
        <v>58.48</v>
      </c>
      <c r="F791" s="195">
        <v>16.420000000000002</v>
      </c>
      <c r="G791" s="30"/>
      <c r="H791" s="10" t="s">
        <v>150</v>
      </c>
      <c r="I791" s="10" t="s">
        <v>8</v>
      </c>
      <c r="J791" s="24" t="s">
        <v>8</v>
      </c>
      <c r="K791" s="10" t="s">
        <v>6</v>
      </c>
      <c r="L791" s="24" t="s">
        <v>2030</v>
      </c>
      <c r="M791" s="24" t="s">
        <v>717</v>
      </c>
      <c r="N791" s="22" t="s">
        <v>1300</v>
      </c>
      <c r="O791" s="22"/>
      <c r="P791" s="22"/>
      <c r="Q791" s="20" t="s">
        <v>1608</v>
      </c>
      <c r="R791" s="44" t="s">
        <v>2013</v>
      </c>
      <c r="S791" s="20"/>
      <c r="T791" s="20"/>
      <c r="U791" s="22">
        <v>4</v>
      </c>
      <c r="V791" s="20" t="s">
        <v>160</v>
      </c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</row>
    <row r="792" spans="1:57" s="94" customFormat="1" x14ac:dyDescent="0.25">
      <c r="A792" s="9" t="s">
        <v>707</v>
      </c>
      <c r="B792" s="39" t="s">
        <v>437</v>
      </c>
      <c r="C792" s="24" t="s">
        <v>780</v>
      </c>
      <c r="D792" s="40" t="s">
        <v>438</v>
      </c>
      <c r="E792" s="46" t="s">
        <v>2214</v>
      </c>
      <c r="F792" s="46" t="s">
        <v>2213</v>
      </c>
      <c r="G792" s="40"/>
      <c r="H792" s="9" t="s">
        <v>150</v>
      </c>
      <c r="I792" s="41" t="s">
        <v>439</v>
      </c>
      <c r="J792" s="41" t="s">
        <v>169</v>
      </c>
      <c r="K792" s="40" t="s">
        <v>5</v>
      </c>
      <c r="L792" s="41" t="s">
        <v>2043</v>
      </c>
      <c r="M792" s="7" t="s">
        <v>2653</v>
      </c>
      <c r="N792" s="19"/>
      <c r="O792" s="19"/>
      <c r="P792" s="19"/>
      <c r="Q792" s="19"/>
      <c r="R792" s="19"/>
      <c r="S792" s="19"/>
      <c r="T792" s="19"/>
      <c r="U792" s="19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2"/>
      <c r="AJ792" s="42"/>
      <c r="AK792" s="42"/>
      <c r="AL792" s="42"/>
      <c r="AM792" s="42"/>
      <c r="AN792" s="42"/>
      <c r="AO792" s="42"/>
      <c r="AP792" s="42"/>
      <c r="AQ792" s="42"/>
      <c r="AR792" s="42" t="s">
        <v>160</v>
      </c>
      <c r="AS792" s="42" t="s">
        <v>160</v>
      </c>
      <c r="AT792" s="19"/>
      <c r="AU792" s="19"/>
      <c r="AV792" s="19"/>
      <c r="AW792" s="19"/>
      <c r="AX792" s="19"/>
      <c r="AY792" s="19"/>
      <c r="AZ792" s="42"/>
      <c r="BA792" s="42"/>
      <c r="BB792" s="42"/>
      <c r="BC792" s="42"/>
      <c r="BD792" s="42"/>
      <c r="BE792" s="42"/>
    </row>
    <row r="793" spans="1:57" x14ac:dyDescent="0.25">
      <c r="A793" s="114" t="s">
        <v>2773</v>
      </c>
      <c r="B793" s="110" t="s">
        <v>2925</v>
      </c>
      <c r="C793" s="102" t="s">
        <v>780</v>
      </c>
      <c r="D793" s="153" t="s">
        <v>73</v>
      </c>
      <c r="E793" s="93">
        <f>57+58/60+0.84/3600</f>
        <v>57.966900000000003</v>
      </c>
      <c r="F793" s="93">
        <f>11+43/60+41.88/3600</f>
        <v>11.728300000000001</v>
      </c>
      <c r="G793" s="93"/>
      <c r="H793" s="94" t="s">
        <v>150</v>
      </c>
      <c r="I793" s="102" t="s">
        <v>169</v>
      </c>
      <c r="J793" s="102" t="s">
        <v>169</v>
      </c>
      <c r="K793" s="102" t="s">
        <v>5</v>
      </c>
      <c r="L793" s="102" t="s">
        <v>2043</v>
      </c>
      <c r="M793" s="105" t="s">
        <v>2653</v>
      </c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/>
      <c r="AD793" s="108"/>
      <c r="AE793" s="108"/>
      <c r="AF793" s="108"/>
      <c r="AG793" s="108"/>
      <c r="AH793" s="108"/>
      <c r="AI793" s="108"/>
      <c r="AJ793" s="108"/>
      <c r="AK793" s="108"/>
      <c r="AL793" s="108"/>
      <c r="AM793" s="108"/>
      <c r="AN793" s="108"/>
      <c r="AO793" s="108"/>
      <c r="AP793" s="108"/>
      <c r="AQ793" s="108"/>
      <c r="AR793" s="108" t="s">
        <v>160</v>
      </c>
      <c r="AS793" s="108" t="s">
        <v>160</v>
      </c>
      <c r="AT793" s="108"/>
      <c r="AU793" s="108"/>
      <c r="AV793" s="108"/>
      <c r="AW793" s="108"/>
      <c r="AX793" s="108"/>
      <c r="AY793" s="108"/>
      <c r="AZ793" s="108"/>
      <c r="BA793" s="108"/>
      <c r="BB793" s="108"/>
      <c r="BC793" s="108"/>
      <c r="BD793" s="108"/>
      <c r="BE793" s="108"/>
    </row>
    <row r="794" spans="1:57" x14ac:dyDescent="0.25">
      <c r="A794" s="6" t="s">
        <v>8</v>
      </c>
      <c r="B794" s="23">
        <v>35194</v>
      </c>
      <c r="C794" s="24" t="s">
        <v>780</v>
      </c>
      <c r="D794" s="24" t="s">
        <v>780</v>
      </c>
      <c r="E794" s="5">
        <f>57+58/60+0.84/3600</f>
        <v>57.966900000000003</v>
      </c>
      <c r="F794" s="5">
        <f>11+43/60+41.88/3600</f>
        <v>11.728300000000001</v>
      </c>
      <c r="G794" s="5"/>
      <c r="H794" s="9" t="s">
        <v>150</v>
      </c>
      <c r="I794" s="24" t="s">
        <v>169</v>
      </c>
      <c r="J794" s="24" t="s">
        <v>169</v>
      </c>
      <c r="K794" s="24" t="s">
        <v>5</v>
      </c>
      <c r="L794" s="24" t="s">
        <v>2043</v>
      </c>
      <c r="M794" s="7" t="s">
        <v>2653</v>
      </c>
      <c r="AR794" s="19" t="s">
        <v>160</v>
      </c>
      <c r="AS794" s="19" t="s">
        <v>160</v>
      </c>
      <c r="BB794" s="19"/>
      <c r="BC794" s="19"/>
      <c r="BD794" s="19"/>
      <c r="BE794" s="19"/>
    </row>
    <row r="795" spans="1:57" x14ac:dyDescent="0.25">
      <c r="A795" s="9" t="s">
        <v>706</v>
      </c>
      <c r="B795" s="38">
        <v>70</v>
      </c>
      <c r="C795" s="24" t="s">
        <v>780</v>
      </c>
      <c r="D795" s="62" t="s">
        <v>73</v>
      </c>
      <c r="E795" s="3">
        <f>57+58/60+1/3600</f>
        <v>57.966944444444444</v>
      </c>
      <c r="F795" s="3">
        <f>11+43/60+42/3600</f>
        <v>11.728333333333333</v>
      </c>
      <c r="G795" s="5"/>
      <c r="H795" s="9" t="s">
        <v>150</v>
      </c>
      <c r="I795" s="7" t="s">
        <v>169</v>
      </c>
      <c r="J795" s="7" t="s">
        <v>169</v>
      </c>
      <c r="K795" s="9" t="s">
        <v>5</v>
      </c>
      <c r="L795" s="7" t="s">
        <v>2043</v>
      </c>
      <c r="M795" s="7" t="s">
        <v>2653</v>
      </c>
      <c r="AR795" s="19" t="s">
        <v>160</v>
      </c>
      <c r="AS795" s="19" t="s">
        <v>160</v>
      </c>
      <c r="BB795" s="19"/>
      <c r="BC795" s="19"/>
      <c r="BD795" s="19"/>
      <c r="BE795" s="19"/>
    </row>
    <row r="796" spans="1:57" x14ac:dyDescent="0.25">
      <c r="A796" s="9" t="s">
        <v>8</v>
      </c>
      <c r="B796" s="27">
        <v>37407</v>
      </c>
      <c r="C796" s="28" t="s">
        <v>1956</v>
      </c>
      <c r="D796" s="28" t="s">
        <v>1810</v>
      </c>
      <c r="E796" s="25">
        <v>59</v>
      </c>
      <c r="F796" s="25">
        <v>12.7667</v>
      </c>
      <c r="H796" s="9" t="s">
        <v>148</v>
      </c>
      <c r="I796" s="21" t="s">
        <v>8</v>
      </c>
      <c r="J796" s="21" t="s">
        <v>8</v>
      </c>
      <c r="K796" s="6" t="s">
        <v>2455</v>
      </c>
      <c r="L796" s="7" t="s">
        <v>2027</v>
      </c>
      <c r="M796" s="28" t="s">
        <v>2653</v>
      </c>
      <c r="N796" s="19" t="s">
        <v>1114</v>
      </c>
      <c r="O796" s="22"/>
      <c r="T796" s="7"/>
      <c r="X796" s="19" t="s">
        <v>160</v>
      </c>
      <c r="Y796" s="19" t="s">
        <v>160</v>
      </c>
      <c r="BA796" s="7"/>
      <c r="BB796" s="7"/>
      <c r="BC796" s="7"/>
      <c r="BD796" s="7"/>
      <c r="BE796" s="7"/>
    </row>
    <row r="797" spans="1:57" x14ac:dyDescent="0.25">
      <c r="A797" s="6" t="s">
        <v>8</v>
      </c>
      <c r="B797" s="9">
        <v>104300</v>
      </c>
      <c r="C797" s="9" t="s">
        <v>2405</v>
      </c>
      <c r="D797" s="9" t="s">
        <v>1462</v>
      </c>
      <c r="E797" s="3">
        <v>60.507399999999997</v>
      </c>
      <c r="F797" s="3">
        <v>14.958500000000001</v>
      </c>
      <c r="G797" s="9">
        <v>192</v>
      </c>
      <c r="H797" s="3" t="s">
        <v>150</v>
      </c>
      <c r="I797" s="6" t="s">
        <v>8</v>
      </c>
      <c r="J797" s="21" t="s">
        <v>8</v>
      </c>
      <c r="K797" s="3" t="s">
        <v>5</v>
      </c>
      <c r="L797" s="5" t="s">
        <v>2680</v>
      </c>
      <c r="M797" s="5" t="s">
        <v>717</v>
      </c>
      <c r="N797" s="19" t="s">
        <v>1820</v>
      </c>
      <c r="O797" s="22"/>
      <c r="P797" s="19" t="s">
        <v>160</v>
      </c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19" t="s">
        <v>160</v>
      </c>
      <c r="AT797" s="19" t="s">
        <v>160</v>
      </c>
      <c r="AV797" s="19" t="s">
        <v>160</v>
      </c>
      <c r="AX797" s="19" t="s">
        <v>160</v>
      </c>
      <c r="AZ797" s="19" t="s">
        <v>160</v>
      </c>
      <c r="BB797" s="19"/>
      <c r="BC797" s="19"/>
      <c r="BD797" s="19"/>
      <c r="BE797" s="19"/>
    </row>
    <row r="798" spans="1:57" x14ac:dyDescent="0.25">
      <c r="A798" s="9" t="s">
        <v>8</v>
      </c>
      <c r="B798" s="26">
        <v>33032</v>
      </c>
      <c r="C798" s="24" t="s">
        <v>1007</v>
      </c>
      <c r="D798" s="24" t="s">
        <v>1008</v>
      </c>
      <c r="E798" s="25">
        <f>59+0/60+51.84/3600</f>
        <v>59.014400000000002</v>
      </c>
      <c r="F798" s="25">
        <f>18+13/60+31.08/3600</f>
        <v>18.225299999999997</v>
      </c>
      <c r="G798" s="55"/>
      <c r="H798" s="9" t="s">
        <v>150</v>
      </c>
      <c r="I798" s="10" t="s">
        <v>8</v>
      </c>
      <c r="J798" s="24" t="s">
        <v>8</v>
      </c>
      <c r="K798" s="9" t="s">
        <v>951</v>
      </c>
      <c r="L798" s="7" t="s">
        <v>2050</v>
      </c>
      <c r="M798" s="7" t="s">
        <v>717</v>
      </c>
      <c r="N798" s="42">
        <v>2015</v>
      </c>
      <c r="O798" s="22"/>
      <c r="P798" s="42"/>
      <c r="S798" s="19" t="s">
        <v>160</v>
      </c>
      <c r="T798" s="19" t="s">
        <v>160</v>
      </c>
      <c r="U798" s="42"/>
      <c r="X798" s="19" t="s">
        <v>160</v>
      </c>
      <c r="AN798" s="19" t="s">
        <v>160</v>
      </c>
      <c r="BB798" s="19"/>
      <c r="BC798" s="19"/>
      <c r="BD798" s="19"/>
      <c r="BE798" s="19"/>
    </row>
    <row r="799" spans="1:57" x14ac:dyDescent="0.25">
      <c r="A799" s="6" t="s">
        <v>8</v>
      </c>
      <c r="B799" s="9">
        <v>78040</v>
      </c>
      <c r="C799" s="9" t="s">
        <v>1463</v>
      </c>
      <c r="D799" s="9" t="s">
        <v>1464</v>
      </c>
      <c r="E799" s="3">
        <v>57.073500000000003</v>
      </c>
      <c r="F799" s="3">
        <v>18.222200000000001</v>
      </c>
      <c r="G799" s="9">
        <v>5</v>
      </c>
      <c r="H799" s="9" t="s">
        <v>150</v>
      </c>
      <c r="I799" s="6" t="s">
        <v>8</v>
      </c>
      <c r="J799" s="21" t="s">
        <v>8</v>
      </c>
      <c r="K799" s="3" t="s">
        <v>5</v>
      </c>
      <c r="L799" s="5" t="s">
        <v>2680</v>
      </c>
      <c r="M799" s="7" t="s">
        <v>717</v>
      </c>
      <c r="N799" s="19" t="s">
        <v>2509</v>
      </c>
      <c r="O799" s="22"/>
      <c r="P799" s="19" t="s">
        <v>160</v>
      </c>
      <c r="AR799" s="19" t="s">
        <v>160</v>
      </c>
      <c r="AT799" s="19" t="s">
        <v>160</v>
      </c>
      <c r="AV799" s="19" t="s">
        <v>160</v>
      </c>
      <c r="AX799" s="19" t="s">
        <v>160</v>
      </c>
      <c r="AZ799" s="19" t="s">
        <v>160</v>
      </c>
      <c r="BB799" s="19"/>
      <c r="BC799" s="19"/>
      <c r="BD799" s="19"/>
      <c r="BE799" s="19"/>
    </row>
    <row r="800" spans="1:57" s="94" customFormat="1" x14ac:dyDescent="0.25">
      <c r="A800" s="32" t="s">
        <v>707</v>
      </c>
      <c r="B800" s="33" t="s">
        <v>875</v>
      </c>
      <c r="C800" s="33" t="s">
        <v>1465</v>
      </c>
      <c r="D800" s="33" t="s">
        <v>1466</v>
      </c>
      <c r="E800" s="35"/>
      <c r="F800" s="35"/>
      <c r="G800" s="33"/>
      <c r="H800" s="33" t="s">
        <v>150</v>
      </c>
      <c r="I800" s="21" t="s">
        <v>8</v>
      </c>
      <c r="J800" s="32" t="s">
        <v>8</v>
      </c>
      <c r="K800" s="35" t="s">
        <v>5</v>
      </c>
      <c r="L800" s="35" t="s">
        <v>2043</v>
      </c>
      <c r="M800" s="33" t="s">
        <v>2653</v>
      </c>
      <c r="N800" s="37" t="s">
        <v>2510</v>
      </c>
      <c r="O800" s="67"/>
      <c r="P800" s="37" t="s">
        <v>160</v>
      </c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  <c r="AK800" s="37"/>
      <c r="AL800" s="37"/>
      <c r="AM800" s="37"/>
      <c r="AN800" s="37"/>
      <c r="AO800" s="37"/>
      <c r="AP800" s="37"/>
      <c r="AQ800" s="37"/>
      <c r="AR800" s="37" t="s">
        <v>160</v>
      </c>
      <c r="AS800" s="37" t="s">
        <v>160</v>
      </c>
      <c r="AT800" s="37"/>
      <c r="AU800" s="37"/>
      <c r="AV800" s="37"/>
      <c r="AW800" s="37"/>
      <c r="AX800" s="37"/>
      <c r="AY800" s="37"/>
      <c r="AZ800" s="37"/>
      <c r="BA800" s="37"/>
      <c r="BB800" s="37"/>
      <c r="BC800" s="37"/>
      <c r="BD800" s="37"/>
      <c r="BE800" s="37"/>
    </row>
    <row r="801" spans="1:57" x14ac:dyDescent="0.25">
      <c r="A801" s="114" t="s">
        <v>2773</v>
      </c>
      <c r="B801" s="94" t="s">
        <v>2974</v>
      </c>
      <c r="C801" s="94" t="s">
        <v>1465</v>
      </c>
      <c r="D801" s="94" t="s">
        <v>1466</v>
      </c>
      <c r="E801" s="93">
        <f>58+41/60+59.28/3600</f>
        <v>58.699799999999996</v>
      </c>
      <c r="F801" s="93">
        <f>13+6/60+39.24/3600</f>
        <v>13.110899999999999</v>
      </c>
      <c r="G801" s="94">
        <v>53</v>
      </c>
      <c r="H801" s="94" t="s">
        <v>148</v>
      </c>
      <c r="I801" s="122" t="s">
        <v>8</v>
      </c>
      <c r="J801" s="122" t="s">
        <v>8</v>
      </c>
      <c r="K801" s="82" t="s">
        <v>5</v>
      </c>
      <c r="L801" s="93" t="s">
        <v>2681</v>
      </c>
      <c r="M801" s="105" t="s">
        <v>2653</v>
      </c>
      <c r="N801" s="108" t="s">
        <v>2510</v>
      </c>
      <c r="O801" s="104"/>
      <c r="P801" s="108" t="s">
        <v>160</v>
      </c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  <c r="AA801" s="108"/>
      <c r="AB801" s="108"/>
      <c r="AC801" s="108"/>
      <c r="AD801" s="108"/>
      <c r="AE801" s="108"/>
      <c r="AF801" s="108"/>
      <c r="AG801" s="108"/>
      <c r="AH801" s="108"/>
      <c r="AI801" s="108"/>
      <c r="AJ801" s="108"/>
      <c r="AK801" s="108"/>
      <c r="AL801" s="108"/>
      <c r="AM801" s="108"/>
      <c r="AN801" s="108"/>
      <c r="AO801" s="108"/>
      <c r="AP801" s="108"/>
      <c r="AQ801" s="108"/>
      <c r="AR801" s="108" t="s">
        <v>160</v>
      </c>
      <c r="AS801" s="108" t="s">
        <v>160</v>
      </c>
      <c r="AT801" s="108" t="s">
        <v>160</v>
      </c>
      <c r="AU801" s="108" t="s">
        <v>160</v>
      </c>
      <c r="AV801" s="108"/>
      <c r="AW801" s="108"/>
      <c r="AX801" s="108" t="s">
        <v>160</v>
      </c>
      <c r="AY801" s="108" t="s">
        <v>160</v>
      </c>
      <c r="AZ801" s="108" t="s">
        <v>160</v>
      </c>
      <c r="BA801" s="108" t="s">
        <v>160</v>
      </c>
      <c r="BB801" s="108"/>
      <c r="BC801" s="108"/>
      <c r="BD801" s="108"/>
      <c r="BE801" s="108"/>
    </row>
    <row r="802" spans="1:57" s="33" customFormat="1" x14ac:dyDescent="0.25">
      <c r="A802" s="6" t="s">
        <v>8</v>
      </c>
      <c r="B802" s="9">
        <v>83420</v>
      </c>
      <c r="C802" s="9" t="s">
        <v>1465</v>
      </c>
      <c r="D802" s="9" t="s">
        <v>1466</v>
      </c>
      <c r="E802" s="5">
        <f>58+41/60+59.28/3600</f>
        <v>58.699799999999996</v>
      </c>
      <c r="F802" s="5">
        <f>13+6/60+39.24/3600</f>
        <v>13.110899999999999</v>
      </c>
      <c r="G802" s="9">
        <v>53</v>
      </c>
      <c r="H802" s="9" t="s">
        <v>148</v>
      </c>
      <c r="I802" s="21" t="s">
        <v>8</v>
      </c>
      <c r="J802" s="21" t="s">
        <v>8</v>
      </c>
      <c r="K802" s="3" t="s">
        <v>5</v>
      </c>
      <c r="L802" s="5" t="s">
        <v>2681</v>
      </c>
      <c r="M802" s="7" t="s">
        <v>2653</v>
      </c>
      <c r="N802" s="19" t="s">
        <v>2510</v>
      </c>
      <c r="O802" s="22"/>
      <c r="P802" s="19" t="s">
        <v>160</v>
      </c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 t="s">
        <v>160</v>
      </c>
      <c r="AS802" s="19" t="s">
        <v>160</v>
      </c>
      <c r="AT802" s="19" t="s">
        <v>160</v>
      </c>
      <c r="AU802" s="19" t="s">
        <v>160</v>
      </c>
      <c r="AV802" s="19"/>
      <c r="AW802" s="19"/>
      <c r="AX802" s="19" t="s">
        <v>160</v>
      </c>
      <c r="AY802" s="19" t="s">
        <v>160</v>
      </c>
      <c r="AZ802" s="19" t="s">
        <v>160</v>
      </c>
      <c r="BA802" s="19" t="s">
        <v>160</v>
      </c>
      <c r="BB802" s="19"/>
      <c r="BC802" s="19"/>
      <c r="BD802" s="19"/>
      <c r="BE802" s="19"/>
    </row>
    <row r="803" spans="1:57" x14ac:dyDescent="0.25">
      <c r="A803" s="6" t="s">
        <v>706</v>
      </c>
      <c r="B803" s="9">
        <v>219</v>
      </c>
      <c r="C803" s="9" t="s">
        <v>1465</v>
      </c>
      <c r="D803" s="88" t="s">
        <v>2667</v>
      </c>
      <c r="E803" s="3">
        <f>58+41/60+58/3600</f>
        <v>58.699444444444438</v>
      </c>
      <c r="F803" s="3">
        <f>13+6/60+30/3600</f>
        <v>13.108333333333333</v>
      </c>
      <c r="G803" s="9"/>
      <c r="H803" s="9" t="s">
        <v>150</v>
      </c>
      <c r="I803" s="6" t="s">
        <v>8</v>
      </c>
      <c r="J803" s="21" t="s">
        <v>8</v>
      </c>
      <c r="K803" s="3" t="s">
        <v>5</v>
      </c>
      <c r="L803" s="5" t="s">
        <v>2043</v>
      </c>
      <c r="M803" s="7" t="s">
        <v>2668</v>
      </c>
      <c r="N803" s="19" t="s">
        <v>2510</v>
      </c>
      <c r="O803" s="22"/>
      <c r="P803" s="19" t="s">
        <v>160</v>
      </c>
      <c r="AR803" s="19" t="s">
        <v>160</v>
      </c>
      <c r="AS803" s="19" t="s">
        <v>160</v>
      </c>
      <c r="BB803" s="19"/>
      <c r="BC803" s="19"/>
      <c r="BD803" s="19"/>
      <c r="BE803" s="19"/>
    </row>
    <row r="804" spans="1:57" s="94" customFormat="1" x14ac:dyDescent="0.25">
      <c r="A804" s="98" t="s">
        <v>2773</v>
      </c>
      <c r="B804" s="135">
        <v>2066</v>
      </c>
      <c r="C804" s="98" t="s">
        <v>1255</v>
      </c>
      <c r="D804" s="98" t="s">
        <v>1213</v>
      </c>
      <c r="E804" s="189">
        <f>60+40/60+48/3600</f>
        <v>60.68</v>
      </c>
      <c r="F804" s="189">
        <f>17+11/60+24/3600</f>
        <v>17.190000000000001</v>
      </c>
      <c r="G804" s="101"/>
      <c r="H804" s="98" t="s">
        <v>150</v>
      </c>
      <c r="I804" s="98" t="s">
        <v>8</v>
      </c>
      <c r="J804" s="102" t="s">
        <v>8</v>
      </c>
      <c r="K804" s="98" t="s">
        <v>6</v>
      </c>
      <c r="L804" s="102" t="s">
        <v>2030</v>
      </c>
      <c r="M804" s="102" t="s">
        <v>717</v>
      </c>
      <c r="N804" s="104" t="s">
        <v>1287</v>
      </c>
      <c r="O804" s="104"/>
      <c r="P804" s="104"/>
      <c r="Q804" s="103" t="s">
        <v>1637</v>
      </c>
      <c r="R804" s="107" t="s">
        <v>1636</v>
      </c>
      <c r="S804" s="103"/>
      <c r="T804" s="103"/>
      <c r="U804" s="104">
        <v>4</v>
      </c>
      <c r="V804" s="103" t="s">
        <v>160</v>
      </c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  <c r="BD804" s="103"/>
      <c r="BE804" s="103"/>
    </row>
    <row r="805" spans="1:57" x14ac:dyDescent="0.25">
      <c r="A805" s="10" t="s">
        <v>8</v>
      </c>
      <c r="B805" s="155">
        <v>2066</v>
      </c>
      <c r="C805" s="10" t="s">
        <v>1255</v>
      </c>
      <c r="D805" s="10" t="s">
        <v>1213</v>
      </c>
      <c r="E805" s="195">
        <v>60.68</v>
      </c>
      <c r="F805" s="195">
        <v>17.190000000000001</v>
      </c>
      <c r="G805" s="30"/>
      <c r="H805" s="10" t="s">
        <v>150</v>
      </c>
      <c r="I805" s="10" t="s">
        <v>8</v>
      </c>
      <c r="J805" s="24" t="s">
        <v>8</v>
      </c>
      <c r="K805" s="10" t="s">
        <v>6</v>
      </c>
      <c r="L805" s="24" t="s">
        <v>2030</v>
      </c>
      <c r="M805" s="24" t="s">
        <v>717</v>
      </c>
      <c r="N805" s="22" t="s">
        <v>1287</v>
      </c>
      <c r="O805" s="22"/>
      <c r="P805" s="22"/>
      <c r="Q805" s="20" t="s">
        <v>1637</v>
      </c>
      <c r="R805" s="44" t="s">
        <v>1636</v>
      </c>
      <c r="S805" s="20"/>
      <c r="T805" s="20"/>
      <c r="U805" s="22">
        <v>4</v>
      </c>
      <c r="V805" s="20" t="s">
        <v>160</v>
      </c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</row>
    <row r="806" spans="1:57" s="94" customFormat="1" x14ac:dyDescent="0.25">
      <c r="A806" s="98" t="s">
        <v>2773</v>
      </c>
      <c r="B806" s="135">
        <v>2065</v>
      </c>
      <c r="C806" s="98" t="s">
        <v>1253</v>
      </c>
      <c r="D806" s="98" t="s">
        <v>1212</v>
      </c>
      <c r="E806" s="189">
        <f>61+12/60</f>
        <v>61.2</v>
      </c>
      <c r="F806" s="189">
        <f>17+7/60+12/3600</f>
        <v>17.12</v>
      </c>
      <c r="G806" s="101"/>
      <c r="H806" s="98" t="s">
        <v>150</v>
      </c>
      <c r="I806" s="98" t="s">
        <v>8</v>
      </c>
      <c r="J806" s="102" t="s">
        <v>8</v>
      </c>
      <c r="K806" s="98" t="s">
        <v>6</v>
      </c>
      <c r="L806" s="102" t="s">
        <v>2030</v>
      </c>
      <c r="M806" s="102" t="s">
        <v>717</v>
      </c>
      <c r="N806" s="104" t="s">
        <v>1286</v>
      </c>
      <c r="O806" s="104"/>
      <c r="P806" s="104"/>
      <c r="Q806" s="103" t="s">
        <v>1638</v>
      </c>
      <c r="R806" s="103"/>
      <c r="S806" s="103"/>
      <c r="T806" s="103"/>
      <c r="U806" s="104">
        <v>4</v>
      </c>
      <c r="V806" s="103" t="s">
        <v>160</v>
      </c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  <c r="BD806" s="103"/>
      <c r="BE806" s="103"/>
    </row>
    <row r="807" spans="1:57" x14ac:dyDescent="0.25">
      <c r="A807" s="10" t="s">
        <v>8</v>
      </c>
      <c r="B807" s="155">
        <v>2065</v>
      </c>
      <c r="C807" s="10" t="s">
        <v>1253</v>
      </c>
      <c r="D807" s="10" t="s">
        <v>1212</v>
      </c>
      <c r="E807" s="195">
        <v>61.2</v>
      </c>
      <c r="F807" s="195">
        <v>17.12</v>
      </c>
      <c r="G807" s="30"/>
      <c r="H807" s="10" t="s">
        <v>150</v>
      </c>
      <c r="I807" s="10" t="s">
        <v>8</v>
      </c>
      <c r="J807" s="24" t="s">
        <v>8</v>
      </c>
      <c r="K807" s="10" t="s">
        <v>6</v>
      </c>
      <c r="L807" s="24" t="s">
        <v>2030</v>
      </c>
      <c r="M807" s="24" t="s">
        <v>717</v>
      </c>
      <c r="N807" s="22" t="s">
        <v>1286</v>
      </c>
      <c r="O807" s="22"/>
      <c r="P807" s="22"/>
      <c r="Q807" s="20" t="s">
        <v>1638</v>
      </c>
      <c r="R807" s="20"/>
      <c r="S807" s="20"/>
      <c r="T807" s="20"/>
      <c r="U807" s="22">
        <v>4</v>
      </c>
      <c r="V807" s="20" t="s">
        <v>160</v>
      </c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</row>
    <row r="808" spans="1:57" s="94" customFormat="1" x14ac:dyDescent="0.25">
      <c r="A808" s="98" t="s">
        <v>2773</v>
      </c>
      <c r="B808" s="135">
        <v>2074</v>
      </c>
      <c r="C808" s="98" t="s">
        <v>1261</v>
      </c>
      <c r="D808" s="98" t="s">
        <v>1222</v>
      </c>
      <c r="E808" s="189">
        <f>58+45/60</f>
        <v>58.75</v>
      </c>
      <c r="F808" s="189">
        <f>17+0/60+36/3600</f>
        <v>17.010000000000002</v>
      </c>
      <c r="G808" s="101"/>
      <c r="H808" s="98" t="s">
        <v>150</v>
      </c>
      <c r="I808" s="98" t="s">
        <v>8</v>
      </c>
      <c r="J808" s="102" t="s">
        <v>8</v>
      </c>
      <c r="K808" s="98" t="s">
        <v>6</v>
      </c>
      <c r="L808" s="102" t="s">
        <v>2030</v>
      </c>
      <c r="M808" s="102" t="s">
        <v>717</v>
      </c>
      <c r="N808" s="104" t="s">
        <v>1297</v>
      </c>
      <c r="O808" s="104"/>
      <c r="P808" s="104"/>
      <c r="Q808" s="103" t="s">
        <v>1642</v>
      </c>
      <c r="R808" s="107" t="s">
        <v>1640</v>
      </c>
      <c r="S808" s="103"/>
      <c r="T808" s="103"/>
      <c r="U808" s="104">
        <v>4</v>
      </c>
      <c r="V808" s="103" t="s">
        <v>160</v>
      </c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  <c r="BD808" s="103"/>
      <c r="BE808" s="103"/>
    </row>
    <row r="809" spans="1:57" x14ac:dyDescent="0.25">
      <c r="A809" s="10" t="s">
        <v>8</v>
      </c>
      <c r="B809" s="155">
        <v>2074</v>
      </c>
      <c r="C809" s="10" t="s">
        <v>1261</v>
      </c>
      <c r="D809" s="10" t="s">
        <v>1222</v>
      </c>
      <c r="E809" s="195">
        <v>58.75</v>
      </c>
      <c r="F809" s="195">
        <v>17.010000000000002</v>
      </c>
      <c r="G809" s="30"/>
      <c r="H809" s="10" t="s">
        <v>150</v>
      </c>
      <c r="I809" s="10" t="s">
        <v>8</v>
      </c>
      <c r="J809" s="24" t="s">
        <v>8</v>
      </c>
      <c r="K809" s="10" t="s">
        <v>6</v>
      </c>
      <c r="L809" s="24" t="s">
        <v>2030</v>
      </c>
      <c r="M809" s="24" t="s">
        <v>717</v>
      </c>
      <c r="N809" s="22" t="s">
        <v>1297</v>
      </c>
      <c r="O809" s="22"/>
      <c r="P809" s="22"/>
      <c r="Q809" s="20" t="s">
        <v>1642</v>
      </c>
      <c r="R809" s="44" t="s">
        <v>1640</v>
      </c>
      <c r="S809" s="20"/>
      <c r="T809" s="20"/>
      <c r="U809" s="22">
        <v>4</v>
      </c>
      <c r="V809" s="20" t="s">
        <v>160</v>
      </c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</row>
    <row r="810" spans="1:57" s="94" customFormat="1" x14ac:dyDescent="0.25">
      <c r="A810" s="98" t="s">
        <v>2773</v>
      </c>
      <c r="B810" s="135">
        <v>2072</v>
      </c>
      <c r="C810" s="98" t="s">
        <v>1258</v>
      </c>
      <c r="D810" s="98" t="s">
        <v>1219</v>
      </c>
      <c r="E810" s="189">
        <f>59+11/60+24/3600</f>
        <v>59.19</v>
      </c>
      <c r="F810" s="189">
        <f>17+37/60+48/3600</f>
        <v>17.63</v>
      </c>
      <c r="G810" s="101"/>
      <c r="H810" s="98" t="s">
        <v>150</v>
      </c>
      <c r="I810" s="98" t="s">
        <v>8</v>
      </c>
      <c r="J810" s="102" t="s">
        <v>8</v>
      </c>
      <c r="K810" s="98" t="s">
        <v>6</v>
      </c>
      <c r="L810" s="102" t="s">
        <v>2030</v>
      </c>
      <c r="M810" s="102" t="s">
        <v>717</v>
      </c>
      <c r="N810" s="104" t="s">
        <v>1294</v>
      </c>
      <c r="O810" s="104"/>
      <c r="P810" s="104"/>
      <c r="Q810" s="103" t="s">
        <v>1643</v>
      </c>
      <c r="R810" s="107" t="s">
        <v>1639</v>
      </c>
      <c r="S810" s="103"/>
      <c r="T810" s="103"/>
      <c r="U810" s="104">
        <v>4</v>
      </c>
      <c r="V810" s="103" t="s">
        <v>160</v>
      </c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  <c r="BD810" s="103"/>
      <c r="BE810" s="103"/>
    </row>
    <row r="811" spans="1:57" x14ac:dyDescent="0.25">
      <c r="A811" s="10" t="s">
        <v>8</v>
      </c>
      <c r="B811" s="155">
        <v>2072</v>
      </c>
      <c r="C811" s="10" t="s">
        <v>1258</v>
      </c>
      <c r="D811" s="10" t="s">
        <v>1219</v>
      </c>
      <c r="E811" s="195">
        <v>59.19</v>
      </c>
      <c r="F811" s="195">
        <v>17.63</v>
      </c>
      <c r="G811" s="30"/>
      <c r="H811" s="10" t="s">
        <v>150</v>
      </c>
      <c r="I811" s="10" t="s">
        <v>8</v>
      </c>
      <c r="J811" s="24" t="s">
        <v>8</v>
      </c>
      <c r="K811" s="10" t="s">
        <v>6</v>
      </c>
      <c r="L811" s="24" t="s">
        <v>2030</v>
      </c>
      <c r="M811" s="24" t="s">
        <v>717</v>
      </c>
      <c r="N811" s="22" t="s">
        <v>1294</v>
      </c>
      <c r="O811" s="22"/>
      <c r="P811" s="22"/>
      <c r="Q811" s="20" t="s">
        <v>1643</v>
      </c>
      <c r="R811" s="44" t="s">
        <v>1639</v>
      </c>
      <c r="S811" s="20"/>
      <c r="T811" s="20"/>
      <c r="U811" s="22">
        <v>4</v>
      </c>
      <c r="V811" s="20" t="s">
        <v>160</v>
      </c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</row>
    <row r="812" spans="1:57" s="94" customFormat="1" x14ac:dyDescent="0.25">
      <c r="A812" s="94" t="s">
        <v>2773</v>
      </c>
      <c r="B812" s="145">
        <v>2070</v>
      </c>
      <c r="C812" s="102" t="s">
        <v>971</v>
      </c>
      <c r="D812" s="184" t="s">
        <v>972</v>
      </c>
      <c r="E812" s="186">
        <f>59+19/60+0.12/3600</f>
        <v>59.316700000000004</v>
      </c>
      <c r="F812" s="186">
        <f>18+4/60+59.88/3600</f>
        <v>18.083300000000001</v>
      </c>
      <c r="G812" s="112"/>
      <c r="H812" s="94" t="s">
        <v>150</v>
      </c>
      <c r="I812" s="94" t="s">
        <v>8</v>
      </c>
      <c r="J812" s="105" t="s">
        <v>8</v>
      </c>
      <c r="K812" s="112" t="s">
        <v>6</v>
      </c>
      <c r="L812" s="113" t="s">
        <v>2030</v>
      </c>
      <c r="M812" s="105" t="s">
        <v>717</v>
      </c>
      <c r="N812" s="108" t="s">
        <v>1196</v>
      </c>
      <c r="O812" s="104"/>
      <c r="P812" s="108"/>
      <c r="Q812" s="107" t="s">
        <v>1181</v>
      </c>
      <c r="R812" s="107" t="s">
        <v>1699</v>
      </c>
      <c r="S812" s="108"/>
      <c r="T812" s="108"/>
      <c r="U812" s="108">
        <v>4</v>
      </c>
      <c r="V812" s="106" t="s">
        <v>160</v>
      </c>
      <c r="W812" s="106"/>
      <c r="X812" s="106"/>
      <c r="Y812" s="106"/>
      <c r="Z812" s="106"/>
      <c r="AA812" s="106"/>
      <c r="AB812" s="106"/>
      <c r="AC812" s="106"/>
      <c r="AD812" s="106"/>
      <c r="AE812" s="106"/>
      <c r="AF812" s="106"/>
      <c r="AG812" s="106"/>
      <c r="AH812" s="106"/>
      <c r="AI812" s="106"/>
      <c r="AJ812" s="106"/>
      <c r="AK812" s="106"/>
      <c r="AL812" s="106"/>
      <c r="AM812" s="106"/>
      <c r="AN812" s="106"/>
      <c r="AO812" s="106"/>
      <c r="AP812" s="106"/>
      <c r="AQ812" s="106"/>
      <c r="AR812" s="106"/>
      <c r="AS812" s="106"/>
      <c r="AT812" s="108"/>
      <c r="AU812" s="108"/>
      <c r="AV812" s="108"/>
      <c r="AW812" s="108"/>
      <c r="AX812" s="108"/>
      <c r="AY812" s="108"/>
      <c r="AZ812" s="106"/>
      <c r="BA812" s="106"/>
      <c r="BB812" s="106"/>
      <c r="BC812" s="106"/>
      <c r="BD812" s="106"/>
      <c r="BE812" s="106"/>
    </row>
    <row r="813" spans="1:57" x14ac:dyDescent="0.25">
      <c r="A813" s="9" t="s">
        <v>8</v>
      </c>
      <c r="B813" s="137">
        <v>2070</v>
      </c>
      <c r="C813" s="24" t="s">
        <v>971</v>
      </c>
      <c r="D813" t="s">
        <v>972</v>
      </c>
      <c r="E813" s="193">
        <v>59.3217</v>
      </c>
      <c r="F813" s="193">
        <v>18.072199999999999</v>
      </c>
      <c r="G813" s="40"/>
      <c r="H813" s="9" t="s">
        <v>150</v>
      </c>
      <c r="I813" s="9" t="s">
        <v>8</v>
      </c>
      <c r="J813" s="7" t="s">
        <v>8</v>
      </c>
      <c r="K813" s="40" t="s">
        <v>6</v>
      </c>
      <c r="L813" s="41" t="s">
        <v>2030</v>
      </c>
      <c r="M813" s="7" t="s">
        <v>717</v>
      </c>
      <c r="N813" s="19" t="s">
        <v>1196</v>
      </c>
      <c r="O813" s="22"/>
      <c r="Q813" s="44" t="s">
        <v>1181</v>
      </c>
      <c r="R813" s="44" t="s">
        <v>1699</v>
      </c>
      <c r="U813" s="19">
        <v>4</v>
      </c>
      <c r="V813" s="42" t="s">
        <v>160</v>
      </c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2"/>
      <c r="AJ813" s="42"/>
      <c r="AK813" s="42"/>
      <c r="AL813" s="42"/>
      <c r="AM813" s="42"/>
      <c r="AN813" s="42"/>
      <c r="AO813" s="42"/>
      <c r="AP813" s="42"/>
      <c r="AQ813" s="42"/>
      <c r="AR813" s="42"/>
      <c r="AS813" s="42"/>
      <c r="AZ813" s="42"/>
      <c r="BA813" s="42"/>
      <c r="BB813" s="42"/>
      <c r="BC813" s="42"/>
      <c r="BD813" s="42"/>
      <c r="BE813" s="42"/>
    </row>
    <row r="814" spans="1:57" x14ac:dyDescent="0.25">
      <c r="A814" s="9" t="s">
        <v>8</v>
      </c>
      <c r="B814" s="27">
        <v>37306</v>
      </c>
      <c r="C814" s="28" t="s">
        <v>1957</v>
      </c>
      <c r="D814" s="28" t="s">
        <v>1777</v>
      </c>
      <c r="E814" s="25">
        <v>57.3</v>
      </c>
      <c r="F814" s="25">
        <v>11.9</v>
      </c>
      <c r="H814" s="9" t="s">
        <v>150</v>
      </c>
      <c r="I814" s="9" t="s">
        <v>8</v>
      </c>
      <c r="J814" s="7" t="s">
        <v>8</v>
      </c>
      <c r="K814" s="6" t="s">
        <v>2455</v>
      </c>
      <c r="L814" s="7" t="s">
        <v>2027</v>
      </c>
      <c r="M814" s="28" t="s">
        <v>717</v>
      </c>
      <c r="N814" s="19" t="s">
        <v>1859</v>
      </c>
      <c r="O814" s="22"/>
      <c r="T814" s="7"/>
      <c r="X814" s="19" t="s">
        <v>160</v>
      </c>
      <c r="BA814" s="7"/>
      <c r="BB814" s="7"/>
      <c r="BC814" s="7"/>
      <c r="BD814" s="7"/>
      <c r="BE814" s="7"/>
    </row>
    <row r="815" spans="1:57" s="94" customFormat="1" x14ac:dyDescent="0.25">
      <c r="A815" s="32" t="s">
        <v>707</v>
      </c>
      <c r="B815" s="33"/>
      <c r="C815" s="33" t="s">
        <v>1467</v>
      </c>
      <c r="D815" s="33" t="s">
        <v>1468</v>
      </c>
      <c r="E815" s="35"/>
      <c r="F815" s="35"/>
      <c r="G815" s="33"/>
      <c r="H815" s="33" t="s">
        <v>150</v>
      </c>
      <c r="I815" s="21" t="s">
        <v>8</v>
      </c>
      <c r="J815" s="32" t="s">
        <v>8</v>
      </c>
      <c r="K815" s="35" t="s">
        <v>5</v>
      </c>
      <c r="L815" s="35" t="s">
        <v>2043</v>
      </c>
      <c r="M815" s="33" t="s">
        <v>2653</v>
      </c>
      <c r="N815" s="37" t="s">
        <v>2511</v>
      </c>
      <c r="O815" s="67"/>
      <c r="P815" s="37" t="s">
        <v>160</v>
      </c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  <c r="AJ815" s="37"/>
      <c r="AK815" s="37"/>
      <c r="AL815" s="37"/>
      <c r="AM815" s="37"/>
      <c r="AN815" s="37"/>
      <c r="AO815" s="37"/>
      <c r="AP815" s="37"/>
      <c r="AQ815" s="37"/>
      <c r="AR815" s="37" t="s">
        <v>160</v>
      </c>
      <c r="AS815" s="37" t="s">
        <v>160</v>
      </c>
      <c r="AT815" s="37"/>
      <c r="AU815" s="37"/>
      <c r="AV815" s="37"/>
      <c r="AW815" s="37"/>
      <c r="AX815" s="37"/>
      <c r="AY815" s="37"/>
      <c r="AZ815" s="37"/>
      <c r="BA815" s="37"/>
      <c r="BB815" s="37"/>
      <c r="BC815" s="37"/>
      <c r="BD815" s="37"/>
      <c r="BE815" s="37"/>
    </row>
    <row r="816" spans="1:57" x14ac:dyDescent="0.25">
      <c r="A816" s="114" t="s">
        <v>2773</v>
      </c>
      <c r="B816" s="94" t="s">
        <v>2924</v>
      </c>
      <c r="C816" s="94" t="s">
        <v>1467</v>
      </c>
      <c r="D816" s="94" t="s">
        <v>1468</v>
      </c>
      <c r="E816" s="82">
        <f>57+18/60+12.96/3600</f>
        <v>57.303599999999996</v>
      </c>
      <c r="F816" s="82">
        <f>11+54/60+17.64/3600</f>
        <v>11.9049</v>
      </c>
      <c r="G816" s="94">
        <v>3.7850000000000001</v>
      </c>
      <c r="H816" s="94" t="s">
        <v>150</v>
      </c>
      <c r="I816" s="122" t="s">
        <v>8</v>
      </c>
      <c r="J816" s="122" t="s">
        <v>8</v>
      </c>
      <c r="K816" s="82" t="s">
        <v>5</v>
      </c>
      <c r="L816" s="93" t="s">
        <v>2680</v>
      </c>
      <c r="M816" s="105" t="s">
        <v>2653</v>
      </c>
      <c r="N816" s="108" t="s">
        <v>2511</v>
      </c>
      <c r="O816" s="104"/>
      <c r="P816" s="108" t="s">
        <v>160</v>
      </c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  <c r="AA816" s="108"/>
      <c r="AB816" s="108"/>
      <c r="AC816" s="108"/>
      <c r="AD816" s="108"/>
      <c r="AE816" s="108"/>
      <c r="AF816" s="108"/>
      <c r="AG816" s="108"/>
      <c r="AH816" s="108"/>
      <c r="AI816" s="108"/>
      <c r="AJ816" s="108"/>
      <c r="AK816" s="108"/>
      <c r="AL816" s="108"/>
      <c r="AM816" s="108"/>
      <c r="AN816" s="108"/>
      <c r="AO816" s="108"/>
      <c r="AP816" s="108"/>
      <c r="AQ816" s="108"/>
      <c r="AR816" s="108" t="s">
        <v>160</v>
      </c>
      <c r="AS816" s="108" t="s">
        <v>160</v>
      </c>
      <c r="AT816" s="108" t="s">
        <v>160</v>
      </c>
      <c r="AU816" s="108" t="s">
        <v>160</v>
      </c>
      <c r="AV816" s="108" t="s">
        <v>160</v>
      </c>
      <c r="AW816" s="108" t="s">
        <v>160</v>
      </c>
      <c r="AX816" s="108" t="s">
        <v>160</v>
      </c>
      <c r="AY816" s="108" t="s">
        <v>160</v>
      </c>
      <c r="AZ816" s="108" t="s">
        <v>160</v>
      </c>
      <c r="BA816" s="108" t="s">
        <v>160</v>
      </c>
      <c r="BB816" s="108"/>
      <c r="BC816" s="108"/>
      <c r="BD816" s="108"/>
      <c r="BE816" s="108"/>
    </row>
    <row r="817" spans="1:57" s="33" customFormat="1" x14ac:dyDescent="0.25">
      <c r="A817" s="6" t="s">
        <v>8</v>
      </c>
      <c r="B817" s="9">
        <v>71190</v>
      </c>
      <c r="C817" s="9" t="s">
        <v>1467</v>
      </c>
      <c r="D817" s="9" t="s">
        <v>1468</v>
      </c>
      <c r="E817" s="3">
        <f>57+18/60+12.96/3600</f>
        <v>57.303599999999996</v>
      </c>
      <c r="F817" s="3">
        <f>11+54/60+17.64/3600</f>
        <v>11.9049</v>
      </c>
      <c r="G817" s="9">
        <v>3.7850000000000001</v>
      </c>
      <c r="H817" s="9" t="s">
        <v>150</v>
      </c>
      <c r="I817" s="21" t="s">
        <v>8</v>
      </c>
      <c r="J817" s="21" t="s">
        <v>8</v>
      </c>
      <c r="K817" s="3" t="s">
        <v>5</v>
      </c>
      <c r="L817" s="5" t="s">
        <v>2680</v>
      </c>
      <c r="M817" s="7" t="s">
        <v>2653</v>
      </c>
      <c r="N817" s="19" t="s">
        <v>2511</v>
      </c>
      <c r="O817" s="22"/>
      <c r="P817" s="19" t="s">
        <v>160</v>
      </c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 t="s">
        <v>160</v>
      </c>
      <c r="AS817" s="19" t="s">
        <v>160</v>
      </c>
      <c r="AT817" s="19" t="s">
        <v>160</v>
      </c>
      <c r="AU817" s="19" t="s">
        <v>160</v>
      </c>
      <c r="AV817" s="19" t="s">
        <v>160</v>
      </c>
      <c r="AW817" s="19" t="s">
        <v>160</v>
      </c>
      <c r="AX817" s="19" t="s">
        <v>160</v>
      </c>
      <c r="AY817" s="19" t="s">
        <v>160</v>
      </c>
      <c r="AZ817" s="19" t="s">
        <v>160</v>
      </c>
      <c r="BA817" s="19" t="s">
        <v>160</v>
      </c>
      <c r="BB817" s="19"/>
      <c r="BC817" s="19"/>
      <c r="BD817" s="19"/>
      <c r="BE817" s="19"/>
    </row>
    <row r="818" spans="1:57" x14ac:dyDescent="0.25">
      <c r="A818" s="6" t="s">
        <v>706</v>
      </c>
      <c r="B818" s="9">
        <v>220</v>
      </c>
      <c r="C818" s="9" t="s">
        <v>1467</v>
      </c>
      <c r="D818" s="88" t="s">
        <v>2669</v>
      </c>
      <c r="E818" s="3">
        <f>57+18/60+13/3600</f>
        <v>57.30361111111111</v>
      </c>
      <c r="F818" s="3">
        <f>11+54/60+18/3600</f>
        <v>11.905000000000001</v>
      </c>
      <c r="G818" s="9"/>
      <c r="H818" s="9" t="s">
        <v>150</v>
      </c>
      <c r="I818" s="21" t="s">
        <v>8</v>
      </c>
      <c r="J818" s="21" t="s">
        <v>8</v>
      </c>
      <c r="K818" s="3" t="s">
        <v>5</v>
      </c>
      <c r="L818" s="5" t="s">
        <v>2043</v>
      </c>
      <c r="M818" s="7" t="s">
        <v>2653</v>
      </c>
      <c r="N818" s="19" t="s">
        <v>2511</v>
      </c>
      <c r="O818" s="22"/>
      <c r="P818" s="19" t="s">
        <v>160</v>
      </c>
      <c r="AR818" s="19" t="s">
        <v>160</v>
      </c>
      <c r="AS818" s="19" t="s">
        <v>160</v>
      </c>
      <c r="BB818" s="19"/>
      <c r="BC818" s="19"/>
      <c r="BD818" s="19"/>
      <c r="BE818" s="19"/>
    </row>
    <row r="819" spans="1:57" s="94" customFormat="1" x14ac:dyDescent="0.25">
      <c r="A819" s="98" t="s">
        <v>2773</v>
      </c>
      <c r="B819" s="135">
        <v>2515</v>
      </c>
      <c r="C819" s="98" t="s">
        <v>2631</v>
      </c>
      <c r="D819" s="98" t="s">
        <v>911</v>
      </c>
      <c r="E819" s="189">
        <f>58+54/60</f>
        <v>58.9</v>
      </c>
      <c r="F819" s="189">
        <f>11+2/60+24/3600</f>
        <v>11.04</v>
      </c>
      <c r="G819" s="101"/>
      <c r="H819" s="98" t="s">
        <v>150</v>
      </c>
      <c r="I819" s="98" t="s">
        <v>8</v>
      </c>
      <c r="J819" s="102" t="s">
        <v>8</v>
      </c>
      <c r="K819" s="98" t="s">
        <v>6</v>
      </c>
      <c r="L819" s="102" t="s">
        <v>2030</v>
      </c>
      <c r="M819" s="102" t="s">
        <v>717</v>
      </c>
      <c r="N819" s="104" t="s">
        <v>1324</v>
      </c>
      <c r="O819" s="104"/>
      <c r="P819" s="104"/>
      <c r="Q819" s="103" t="s">
        <v>1641</v>
      </c>
      <c r="R819" s="103"/>
      <c r="S819" s="103"/>
      <c r="T819" s="103"/>
      <c r="U819" s="104">
        <v>4</v>
      </c>
      <c r="V819" s="103" t="s">
        <v>160</v>
      </c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  <c r="BD819" s="103"/>
      <c r="BE819" s="103"/>
    </row>
    <row r="820" spans="1:57" x14ac:dyDescent="0.25">
      <c r="A820" s="10" t="s">
        <v>8</v>
      </c>
      <c r="B820" s="155">
        <v>2515</v>
      </c>
      <c r="C820" s="10" t="s">
        <v>2631</v>
      </c>
      <c r="D820" s="10" t="s">
        <v>911</v>
      </c>
      <c r="E820" s="195">
        <v>58.9</v>
      </c>
      <c r="F820" s="195">
        <v>11.04</v>
      </c>
      <c r="G820" s="30"/>
      <c r="H820" s="10" t="s">
        <v>150</v>
      </c>
      <c r="I820" s="10" t="s">
        <v>8</v>
      </c>
      <c r="J820" s="24" t="s">
        <v>8</v>
      </c>
      <c r="K820" s="10" t="s">
        <v>6</v>
      </c>
      <c r="L820" s="24" t="s">
        <v>2030</v>
      </c>
      <c r="M820" s="24" t="s">
        <v>717</v>
      </c>
      <c r="N820" s="22" t="s">
        <v>1324</v>
      </c>
      <c r="O820" s="22"/>
      <c r="P820" s="22"/>
      <c r="Q820" s="20" t="s">
        <v>1641</v>
      </c>
      <c r="R820" s="20"/>
      <c r="S820" s="20"/>
      <c r="T820" s="20"/>
      <c r="U820" s="22">
        <v>4</v>
      </c>
      <c r="V820" s="20" t="s">
        <v>160</v>
      </c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</row>
    <row r="821" spans="1:57" s="94" customFormat="1" x14ac:dyDescent="0.25">
      <c r="A821" s="9" t="s">
        <v>707</v>
      </c>
      <c r="B821" s="39" t="s">
        <v>443</v>
      </c>
      <c r="C821" s="39" t="s">
        <v>947</v>
      </c>
      <c r="D821" s="40" t="s">
        <v>444</v>
      </c>
      <c r="E821" s="46" t="s">
        <v>446</v>
      </c>
      <c r="F821" s="46" t="s">
        <v>445</v>
      </c>
      <c r="G821" s="40"/>
      <c r="H821" s="9" t="s">
        <v>150</v>
      </c>
      <c r="I821" s="41" t="s">
        <v>8</v>
      </c>
      <c r="J821" s="41" t="s">
        <v>169</v>
      </c>
      <c r="K821" s="40" t="s">
        <v>5</v>
      </c>
      <c r="L821" s="5" t="s">
        <v>2043</v>
      </c>
      <c r="M821" s="7" t="s">
        <v>2653</v>
      </c>
      <c r="N821" s="19" t="s">
        <v>1112</v>
      </c>
      <c r="O821" s="19"/>
      <c r="P821" s="19" t="s">
        <v>160</v>
      </c>
      <c r="Q821" s="19"/>
      <c r="R821" s="19"/>
      <c r="S821" s="19"/>
      <c r="T821" s="19"/>
      <c r="U821" s="19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2"/>
      <c r="AJ821" s="42"/>
      <c r="AK821" s="42"/>
      <c r="AL821" s="42"/>
      <c r="AM821" s="42"/>
      <c r="AN821" s="42"/>
      <c r="AO821" s="42"/>
      <c r="AP821" s="42"/>
      <c r="AQ821" s="42"/>
      <c r="AR821" s="42" t="s">
        <v>160</v>
      </c>
      <c r="AS821" s="42" t="s">
        <v>160</v>
      </c>
      <c r="AT821" s="19"/>
      <c r="AU821" s="19"/>
      <c r="AV821" s="19"/>
      <c r="AW821" s="19"/>
      <c r="AX821" s="19"/>
      <c r="AY821" s="19"/>
      <c r="AZ821" s="42"/>
      <c r="BA821" s="42"/>
      <c r="BB821" s="42"/>
      <c r="BC821" s="42"/>
      <c r="BD821" s="42"/>
      <c r="BE821" s="42"/>
    </row>
    <row r="822" spans="1:57" x14ac:dyDescent="0.25">
      <c r="A822" s="114" t="s">
        <v>2773</v>
      </c>
      <c r="B822" s="94" t="s">
        <v>2926</v>
      </c>
      <c r="C822" s="94" t="s">
        <v>947</v>
      </c>
      <c r="D822" s="94" t="s">
        <v>948</v>
      </c>
      <c r="E822" s="101">
        <f>58+53/60+31.2/3600</f>
        <v>58.892000000000003</v>
      </c>
      <c r="F822" s="101">
        <f>11+0/60+13.68/3600</f>
        <v>11.0038</v>
      </c>
      <c r="G822" s="94">
        <v>33.362000000000002</v>
      </c>
      <c r="H822" s="94" t="s">
        <v>150</v>
      </c>
      <c r="I822" s="122" t="s">
        <v>8</v>
      </c>
      <c r="J822" s="122" t="s">
        <v>8</v>
      </c>
      <c r="K822" s="82" t="s">
        <v>5</v>
      </c>
      <c r="L822" s="93" t="s">
        <v>2680</v>
      </c>
      <c r="M822" s="105" t="s">
        <v>2653</v>
      </c>
      <c r="N822" s="108" t="s">
        <v>1112</v>
      </c>
      <c r="O822" s="104"/>
      <c r="P822" s="108" t="s">
        <v>160</v>
      </c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  <c r="AA822" s="108"/>
      <c r="AB822" s="108"/>
      <c r="AC822" s="108"/>
      <c r="AD822" s="108"/>
      <c r="AE822" s="108"/>
      <c r="AF822" s="108"/>
      <c r="AG822" s="108"/>
      <c r="AH822" s="108"/>
      <c r="AI822" s="108"/>
      <c r="AJ822" s="108"/>
      <c r="AK822" s="108"/>
      <c r="AL822" s="108"/>
      <c r="AM822" s="108"/>
      <c r="AN822" s="108"/>
      <c r="AO822" s="108"/>
      <c r="AP822" s="108"/>
      <c r="AQ822" s="108"/>
      <c r="AR822" s="108" t="s">
        <v>160</v>
      </c>
      <c r="AS822" s="108" t="s">
        <v>160</v>
      </c>
      <c r="AT822" s="108" t="s">
        <v>160</v>
      </c>
      <c r="AU822" s="108" t="s">
        <v>160</v>
      </c>
      <c r="AV822" s="108" t="s">
        <v>160</v>
      </c>
      <c r="AW822" s="108" t="s">
        <v>160</v>
      </c>
      <c r="AX822" s="108" t="s">
        <v>160</v>
      </c>
      <c r="AY822" s="108" t="s">
        <v>160</v>
      </c>
      <c r="AZ822" s="108" t="s">
        <v>160</v>
      </c>
      <c r="BA822" s="108" t="s">
        <v>160</v>
      </c>
      <c r="BB822" s="108"/>
      <c r="BC822" s="108"/>
      <c r="BD822" s="108"/>
      <c r="BE822" s="108"/>
    </row>
    <row r="823" spans="1:57" x14ac:dyDescent="0.25">
      <c r="A823" s="6" t="s">
        <v>8</v>
      </c>
      <c r="B823" s="9">
        <v>81540</v>
      </c>
      <c r="C823" s="9" t="s">
        <v>947</v>
      </c>
      <c r="D823" s="9" t="s">
        <v>948</v>
      </c>
      <c r="E823" s="30">
        <f>58+53/60+31.2/3600</f>
        <v>58.892000000000003</v>
      </c>
      <c r="F823" s="30">
        <f>11+0/60+13.68/3600</f>
        <v>11.0038</v>
      </c>
      <c r="G823" s="9">
        <v>33.362000000000002</v>
      </c>
      <c r="H823" s="9" t="s">
        <v>150</v>
      </c>
      <c r="I823" s="21" t="s">
        <v>8</v>
      </c>
      <c r="J823" s="21" t="s">
        <v>8</v>
      </c>
      <c r="K823" s="3" t="s">
        <v>5</v>
      </c>
      <c r="L823" s="5" t="s">
        <v>2680</v>
      </c>
      <c r="M823" s="7" t="s">
        <v>2653</v>
      </c>
      <c r="N823" s="19" t="s">
        <v>1112</v>
      </c>
      <c r="O823" s="22"/>
      <c r="P823" s="19" t="s">
        <v>160</v>
      </c>
      <c r="AR823" s="19" t="s">
        <v>160</v>
      </c>
      <c r="AS823" s="19" t="s">
        <v>160</v>
      </c>
      <c r="AT823" s="19" t="s">
        <v>160</v>
      </c>
      <c r="AU823" s="19" t="s">
        <v>160</v>
      </c>
      <c r="AV823" s="19" t="s">
        <v>160</v>
      </c>
      <c r="AW823" s="19" t="s">
        <v>160</v>
      </c>
      <c r="AX823" s="19" t="s">
        <v>160</v>
      </c>
      <c r="AY823" s="19" t="s">
        <v>160</v>
      </c>
      <c r="AZ823" s="19" t="s">
        <v>160</v>
      </c>
      <c r="BA823" s="19" t="s">
        <v>160</v>
      </c>
      <c r="BB823" s="19"/>
      <c r="BC823" s="19"/>
      <c r="BD823" s="19"/>
      <c r="BE823" s="19"/>
    </row>
    <row r="824" spans="1:57" x14ac:dyDescent="0.25">
      <c r="A824" s="9" t="s">
        <v>706</v>
      </c>
      <c r="B824" s="38">
        <v>131</v>
      </c>
      <c r="C824" s="39" t="s">
        <v>947</v>
      </c>
      <c r="D824" s="62" t="s">
        <v>76</v>
      </c>
      <c r="E824" s="3">
        <f>58+53/60+31/3600</f>
        <v>58.891944444444441</v>
      </c>
      <c r="F824" s="3">
        <f>11+0/60+14/3600</f>
        <v>11.003888888888889</v>
      </c>
      <c r="H824" s="9" t="s">
        <v>150</v>
      </c>
      <c r="I824" s="7" t="s">
        <v>8</v>
      </c>
      <c r="J824" s="7" t="s">
        <v>8</v>
      </c>
      <c r="K824" s="9" t="s">
        <v>5</v>
      </c>
      <c r="L824" s="5" t="s">
        <v>2043</v>
      </c>
      <c r="M824" s="7" t="s">
        <v>2653</v>
      </c>
      <c r="N824" s="19" t="s">
        <v>1112</v>
      </c>
      <c r="O824" s="22"/>
      <c r="P824" s="19" t="s">
        <v>160</v>
      </c>
      <c r="AR824" s="19" t="s">
        <v>160</v>
      </c>
      <c r="AS824" s="19" t="s">
        <v>160</v>
      </c>
      <c r="AZ824" s="42"/>
      <c r="BA824" s="42"/>
      <c r="BB824" s="42"/>
      <c r="BC824" s="42"/>
      <c r="BD824" s="42"/>
      <c r="BE824" s="42"/>
    </row>
    <row r="825" spans="1:57" x14ac:dyDescent="0.25">
      <c r="A825" s="6" t="s">
        <v>8</v>
      </c>
      <c r="B825" s="9">
        <v>139340</v>
      </c>
      <c r="C825" s="9" t="s">
        <v>2406</v>
      </c>
      <c r="D825" s="9" t="s">
        <v>1469</v>
      </c>
      <c r="E825" s="3">
        <v>63.573900000000002</v>
      </c>
      <c r="F825" s="3">
        <v>19.487500000000001</v>
      </c>
      <c r="G825" s="9">
        <v>4</v>
      </c>
      <c r="H825" s="9" t="s">
        <v>150</v>
      </c>
      <c r="I825" s="6" t="s">
        <v>8</v>
      </c>
      <c r="J825" s="21" t="s">
        <v>8</v>
      </c>
      <c r="K825" s="3" t="s">
        <v>5</v>
      </c>
      <c r="L825" s="5" t="s">
        <v>2680</v>
      </c>
      <c r="M825" s="7" t="s">
        <v>717</v>
      </c>
      <c r="N825" s="19" t="s">
        <v>2512</v>
      </c>
      <c r="O825" s="22"/>
      <c r="P825" s="19" t="s">
        <v>160</v>
      </c>
      <c r="AR825" s="19" t="s">
        <v>160</v>
      </c>
      <c r="AT825" s="19" t="s">
        <v>160</v>
      </c>
      <c r="AV825" s="19" t="s">
        <v>160</v>
      </c>
      <c r="AX825" s="19" t="s">
        <v>160</v>
      </c>
      <c r="AZ825" s="19" t="s">
        <v>160</v>
      </c>
      <c r="BB825" s="19"/>
      <c r="BC825" s="19"/>
      <c r="BD825" s="19"/>
      <c r="BE825" s="19"/>
    </row>
    <row r="826" spans="1:57" s="94" customFormat="1" x14ac:dyDescent="0.25">
      <c r="A826" s="9" t="s">
        <v>707</v>
      </c>
      <c r="B826" s="39" t="s">
        <v>447</v>
      </c>
      <c r="C826" s="39" t="s">
        <v>910</v>
      </c>
      <c r="D826" s="40" t="s">
        <v>448</v>
      </c>
      <c r="E826" s="46" t="s">
        <v>450</v>
      </c>
      <c r="F826" s="46" t="s">
        <v>449</v>
      </c>
      <c r="G826" s="40"/>
      <c r="H826" s="9" t="s">
        <v>150</v>
      </c>
      <c r="I826" s="41" t="s">
        <v>169</v>
      </c>
      <c r="J826" s="41" t="s">
        <v>169</v>
      </c>
      <c r="K826" s="40" t="s">
        <v>951</v>
      </c>
      <c r="L826" s="41" t="s">
        <v>2027</v>
      </c>
      <c r="M826" s="7" t="s">
        <v>2653</v>
      </c>
      <c r="N826" s="19"/>
      <c r="O826" s="19"/>
      <c r="P826" s="19"/>
      <c r="Q826" s="19"/>
      <c r="R826" s="19"/>
      <c r="S826" s="19"/>
      <c r="T826" s="19"/>
      <c r="U826" s="19"/>
      <c r="V826" s="42"/>
      <c r="W826" s="42"/>
      <c r="X826" s="42" t="s">
        <v>160</v>
      </c>
      <c r="Y826" s="42" t="s">
        <v>160</v>
      </c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  <c r="AJ826" s="42"/>
      <c r="AK826" s="42"/>
      <c r="AL826" s="42"/>
      <c r="AM826" s="42"/>
      <c r="AN826" s="42"/>
      <c r="AO826" s="42"/>
      <c r="AP826" s="42"/>
      <c r="AQ826" s="42"/>
      <c r="AR826" s="42"/>
      <c r="AS826" s="42"/>
      <c r="AT826" s="19"/>
      <c r="AU826" s="19"/>
      <c r="AV826" s="19"/>
      <c r="AW826" s="19"/>
      <c r="AX826" s="19"/>
      <c r="AY826" s="19"/>
      <c r="AZ826" s="42"/>
      <c r="BA826" s="42"/>
      <c r="BB826" s="42"/>
      <c r="BC826" s="42"/>
      <c r="BD826" s="42"/>
      <c r="BE826" s="42"/>
    </row>
    <row r="827" spans="1:57" x14ac:dyDescent="0.25">
      <c r="A827" s="9" t="s">
        <v>707</v>
      </c>
      <c r="B827" s="39" t="s">
        <v>451</v>
      </c>
      <c r="C827" s="39" t="s">
        <v>910</v>
      </c>
      <c r="D827" s="40" t="s">
        <v>452</v>
      </c>
      <c r="E827" s="46" t="s">
        <v>450</v>
      </c>
      <c r="F827" s="46" t="s">
        <v>449</v>
      </c>
      <c r="G827" s="40"/>
      <c r="H827" s="9" t="s">
        <v>150</v>
      </c>
      <c r="I827" s="41" t="s">
        <v>169</v>
      </c>
      <c r="J827" s="41" t="s">
        <v>169</v>
      </c>
      <c r="K827" s="40" t="s">
        <v>5</v>
      </c>
      <c r="L827" s="41" t="s">
        <v>2698</v>
      </c>
      <c r="M827" s="7" t="s">
        <v>2653</v>
      </c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2"/>
      <c r="AJ827" s="42"/>
      <c r="AK827" s="42"/>
      <c r="AL827" s="42"/>
      <c r="AM827" s="42"/>
      <c r="AN827" s="42"/>
      <c r="AO827" s="42"/>
      <c r="AP827" s="42"/>
      <c r="AQ827" s="42"/>
      <c r="AR827" s="42" t="s">
        <v>160</v>
      </c>
      <c r="AS827" s="42" t="s">
        <v>160</v>
      </c>
      <c r="AT827" s="19" t="s">
        <v>160</v>
      </c>
      <c r="AU827" s="19" t="s">
        <v>160</v>
      </c>
      <c r="AV827" s="19" t="s">
        <v>160</v>
      </c>
      <c r="AW827" s="19" t="s">
        <v>160</v>
      </c>
      <c r="AX827" s="19" t="s">
        <v>160</v>
      </c>
      <c r="AY827" s="19" t="s">
        <v>160</v>
      </c>
      <c r="AZ827" s="42"/>
      <c r="BA827" s="42"/>
      <c r="BB827" s="42" t="s">
        <v>160</v>
      </c>
      <c r="BC827" s="42" t="s">
        <v>160</v>
      </c>
      <c r="BD827" s="42" t="s">
        <v>160</v>
      </c>
      <c r="BE827" s="42" t="s">
        <v>160</v>
      </c>
    </row>
    <row r="828" spans="1:57" x14ac:dyDescent="0.25">
      <c r="A828" s="94" t="s">
        <v>2773</v>
      </c>
      <c r="B828" s="109" t="s">
        <v>2931</v>
      </c>
      <c r="C828" s="109" t="s">
        <v>910</v>
      </c>
      <c r="D828" s="153" t="s">
        <v>77</v>
      </c>
      <c r="E828" s="120">
        <f>63+32/60+10/3600</f>
        <v>63.536111111111111</v>
      </c>
      <c r="F828" s="120">
        <f>20+46/60+20/3600</f>
        <v>20.772222222222222</v>
      </c>
      <c r="G828" s="112"/>
      <c r="H828" s="94" t="s">
        <v>150</v>
      </c>
      <c r="I828" s="105" t="s">
        <v>169</v>
      </c>
      <c r="J828" s="105" t="s">
        <v>169</v>
      </c>
      <c r="K828" s="94" t="s">
        <v>5</v>
      </c>
      <c r="L828" s="105" t="s">
        <v>2697</v>
      </c>
      <c r="M828" s="105" t="s">
        <v>2653</v>
      </c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 t="s">
        <v>160</v>
      </c>
      <c r="Y828" s="108" t="s">
        <v>160</v>
      </c>
      <c r="Z828" s="108"/>
      <c r="AA828" s="108"/>
      <c r="AB828" s="108"/>
      <c r="AC828" s="108"/>
      <c r="AD828" s="108"/>
      <c r="AE828" s="108"/>
      <c r="AF828" s="108"/>
      <c r="AG828" s="108"/>
      <c r="AH828" s="108"/>
      <c r="AI828" s="108"/>
      <c r="AJ828" s="108"/>
      <c r="AK828" s="108"/>
      <c r="AL828" s="108"/>
      <c r="AM828" s="108"/>
      <c r="AN828" s="108"/>
      <c r="AO828" s="108"/>
      <c r="AP828" s="108"/>
      <c r="AQ828" s="108"/>
      <c r="AR828" s="108" t="s">
        <v>160</v>
      </c>
      <c r="AS828" s="108" t="s">
        <v>160</v>
      </c>
      <c r="AT828" s="108" t="s">
        <v>160</v>
      </c>
      <c r="AU828" s="108" t="s">
        <v>160</v>
      </c>
      <c r="AV828" s="108" t="s">
        <v>160</v>
      </c>
      <c r="AW828" s="108" t="s">
        <v>160</v>
      </c>
      <c r="AX828" s="108" t="s">
        <v>160</v>
      </c>
      <c r="AY828" s="108" t="s">
        <v>160</v>
      </c>
      <c r="AZ828" s="108"/>
      <c r="BA828" s="108"/>
      <c r="BB828" s="108" t="s">
        <v>160</v>
      </c>
      <c r="BC828" s="108" t="s">
        <v>160</v>
      </c>
      <c r="BD828" s="108" t="s">
        <v>160</v>
      </c>
      <c r="BE828" s="108" t="s">
        <v>160</v>
      </c>
    </row>
    <row r="829" spans="1:57" x14ac:dyDescent="0.25">
      <c r="A829" s="32" t="s">
        <v>8</v>
      </c>
      <c r="B829" s="33" t="s">
        <v>875</v>
      </c>
      <c r="C829" s="33" t="s">
        <v>910</v>
      </c>
      <c r="D829" s="33" t="s">
        <v>910</v>
      </c>
      <c r="E829" s="35"/>
      <c r="F829" s="35"/>
      <c r="G829" s="33"/>
      <c r="H829" s="33" t="s">
        <v>150</v>
      </c>
      <c r="I829" s="21" t="s">
        <v>169</v>
      </c>
      <c r="J829" s="32" t="s">
        <v>169</v>
      </c>
      <c r="K829" s="35" t="s">
        <v>953</v>
      </c>
      <c r="L829" s="33" t="s">
        <v>2697</v>
      </c>
      <c r="M829" s="33" t="s">
        <v>2653</v>
      </c>
      <c r="N829" s="37"/>
      <c r="O829" s="6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  <c r="AK829" s="37"/>
      <c r="AL829" s="37"/>
      <c r="AM829" s="37"/>
      <c r="AN829" s="37"/>
      <c r="AO829" s="37"/>
      <c r="AP829" s="37"/>
      <c r="AQ829" s="37"/>
      <c r="AR829" s="37" t="s">
        <v>160</v>
      </c>
      <c r="AS829" s="37" t="s">
        <v>160</v>
      </c>
      <c r="AT829" s="37" t="s">
        <v>160</v>
      </c>
      <c r="AU829" s="37" t="s">
        <v>160</v>
      </c>
      <c r="AV829" s="37" t="s">
        <v>160</v>
      </c>
      <c r="AW829" s="37" t="s">
        <v>160</v>
      </c>
      <c r="AX829" s="37" t="s">
        <v>160</v>
      </c>
      <c r="AY829" s="37" t="s">
        <v>160</v>
      </c>
      <c r="AZ829" s="37"/>
      <c r="BA829" s="37"/>
      <c r="BB829" s="37" t="s">
        <v>160</v>
      </c>
      <c r="BC829" s="37" t="s">
        <v>160</v>
      </c>
      <c r="BD829" s="37" t="s">
        <v>160</v>
      </c>
      <c r="BE829" s="37" t="s">
        <v>160</v>
      </c>
    </row>
    <row r="830" spans="1:57" x14ac:dyDescent="0.25">
      <c r="A830" s="9" t="s">
        <v>706</v>
      </c>
      <c r="B830" s="38">
        <v>133</v>
      </c>
      <c r="C830" s="38" t="s">
        <v>910</v>
      </c>
      <c r="D830" s="62" t="s">
        <v>77</v>
      </c>
      <c r="E830" s="3">
        <f>63+32/60+10/3600</f>
        <v>63.536111111111111</v>
      </c>
      <c r="F830" s="3">
        <f>20+46/60+20/3600</f>
        <v>20.772222222222222</v>
      </c>
      <c r="G830" s="40"/>
      <c r="H830" s="9" t="s">
        <v>150</v>
      </c>
      <c r="I830" s="7" t="s">
        <v>169</v>
      </c>
      <c r="J830" s="7" t="s">
        <v>169</v>
      </c>
      <c r="K830" s="9" t="s">
        <v>5</v>
      </c>
      <c r="L830" s="7" t="s">
        <v>2697</v>
      </c>
      <c r="M830" s="7" t="s">
        <v>2653</v>
      </c>
      <c r="X830" s="19" t="s">
        <v>160</v>
      </c>
      <c r="Y830" s="19" t="s">
        <v>160</v>
      </c>
      <c r="AR830" s="19" t="s">
        <v>160</v>
      </c>
      <c r="AS830" s="19" t="s">
        <v>160</v>
      </c>
      <c r="AT830" s="19" t="s">
        <v>160</v>
      </c>
      <c r="AU830" s="19" t="s">
        <v>160</v>
      </c>
      <c r="AV830" s="19" t="s">
        <v>160</v>
      </c>
      <c r="AW830" s="19" t="s">
        <v>160</v>
      </c>
      <c r="AX830" s="19" t="s">
        <v>160</v>
      </c>
      <c r="AY830" s="19" t="s">
        <v>160</v>
      </c>
      <c r="BB830" s="19" t="s">
        <v>160</v>
      </c>
      <c r="BC830" s="19" t="s">
        <v>160</v>
      </c>
      <c r="BD830" s="19" t="s">
        <v>160</v>
      </c>
      <c r="BE830" s="19" t="s">
        <v>160</v>
      </c>
    </row>
    <row r="831" spans="1:57" x14ac:dyDescent="0.25">
      <c r="A831" s="9" t="s">
        <v>8</v>
      </c>
      <c r="B831" s="26">
        <v>33021</v>
      </c>
      <c r="C831" s="24" t="s">
        <v>994</v>
      </c>
      <c r="D831" t="s">
        <v>994</v>
      </c>
      <c r="E831" s="25">
        <f>63+30/60</f>
        <v>63.5</v>
      </c>
      <c r="F831" s="25">
        <f>19+48/60+30/3600</f>
        <v>19.808333333333334</v>
      </c>
      <c r="H831" s="9" t="s">
        <v>150</v>
      </c>
      <c r="I831" s="24" t="s">
        <v>1023</v>
      </c>
      <c r="J831" s="24" t="s">
        <v>8</v>
      </c>
      <c r="K831" s="9" t="s">
        <v>951</v>
      </c>
      <c r="L831" s="7" t="s">
        <v>2683</v>
      </c>
      <c r="M831" s="7" t="s">
        <v>2653</v>
      </c>
      <c r="N831" s="42" t="s">
        <v>1127</v>
      </c>
      <c r="O831" s="42"/>
      <c r="P831" s="42" t="s">
        <v>160</v>
      </c>
      <c r="U831" s="42"/>
      <c r="X831" s="19" t="s">
        <v>160</v>
      </c>
      <c r="Y831" s="19" t="s">
        <v>160</v>
      </c>
      <c r="Z831" s="19" t="s">
        <v>160</v>
      </c>
      <c r="AA831" s="19" t="s">
        <v>160</v>
      </c>
      <c r="AB831" s="19" t="s">
        <v>160</v>
      </c>
      <c r="AC831" s="19" t="s">
        <v>160</v>
      </c>
      <c r="AD831" s="19" t="s">
        <v>160</v>
      </c>
      <c r="AE831" s="19" t="s">
        <v>160</v>
      </c>
      <c r="AJ831" s="19" t="s">
        <v>160</v>
      </c>
      <c r="AK831" s="19" t="s">
        <v>160</v>
      </c>
      <c r="AL831" s="19" t="s">
        <v>160</v>
      </c>
      <c r="AM831" s="19" t="s">
        <v>160</v>
      </c>
      <c r="AT831" s="19" t="s">
        <v>160</v>
      </c>
      <c r="AU831" s="19" t="s">
        <v>160</v>
      </c>
      <c r="AV831" s="19" t="s">
        <v>160</v>
      </c>
      <c r="AW831" s="19" t="s">
        <v>160</v>
      </c>
      <c r="BB831" s="19"/>
      <c r="BC831" s="19"/>
      <c r="BD831" s="19"/>
      <c r="BE831" s="19"/>
    </row>
    <row r="832" spans="1:57" x14ac:dyDescent="0.25">
      <c r="A832" s="9" t="s">
        <v>8</v>
      </c>
      <c r="B832" s="27">
        <v>37110</v>
      </c>
      <c r="C832" s="28" t="s">
        <v>1958</v>
      </c>
      <c r="D832" s="28" t="s">
        <v>994</v>
      </c>
      <c r="E832" s="3">
        <v>63.5642</v>
      </c>
      <c r="F832" s="3">
        <v>19.833100000000002</v>
      </c>
      <c r="H832" s="9" t="s">
        <v>150</v>
      </c>
      <c r="I832" s="21" t="s">
        <v>8</v>
      </c>
      <c r="J832" s="21" t="s">
        <v>8</v>
      </c>
      <c r="K832" s="6" t="s">
        <v>2455</v>
      </c>
      <c r="L832" s="7" t="s">
        <v>2027</v>
      </c>
      <c r="M832" s="28" t="s">
        <v>2653</v>
      </c>
      <c r="N832" s="19" t="s">
        <v>1161</v>
      </c>
      <c r="O832" s="22"/>
      <c r="T832" s="7"/>
      <c r="X832" s="19" t="s">
        <v>160</v>
      </c>
      <c r="Y832" s="19" t="s">
        <v>160</v>
      </c>
      <c r="BA832" s="7"/>
      <c r="BB832" s="7"/>
      <c r="BC832" s="7"/>
      <c r="BD832" s="7"/>
      <c r="BE832" s="7"/>
    </row>
    <row r="833" spans="1:57" s="94" customFormat="1" x14ac:dyDescent="0.25">
      <c r="A833" s="9" t="s">
        <v>707</v>
      </c>
      <c r="B833" s="39" t="s">
        <v>461</v>
      </c>
      <c r="C833" s="56" t="s">
        <v>913</v>
      </c>
      <c r="D833" s="40" t="s">
        <v>462</v>
      </c>
      <c r="E833" s="46" t="s">
        <v>456</v>
      </c>
      <c r="F833" s="46" t="s">
        <v>455</v>
      </c>
      <c r="G833" s="40"/>
      <c r="H833" s="9" t="s">
        <v>16</v>
      </c>
      <c r="I833" s="41" t="s">
        <v>169</v>
      </c>
      <c r="J833" s="41" t="s">
        <v>169</v>
      </c>
      <c r="K833" s="40" t="s">
        <v>16</v>
      </c>
      <c r="L833" s="41" t="s">
        <v>16</v>
      </c>
      <c r="M833" s="7" t="s">
        <v>2653</v>
      </c>
      <c r="N833" s="19"/>
      <c r="O833" s="19"/>
      <c r="P833" s="19"/>
      <c r="Q833" s="19"/>
      <c r="R833" s="19"/>
      <c r="S833" s="19"/>
      <c r="T833" s="19"/>
      <c r="U833" s="19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2"/>
      <c r="AJ833" s="42"/>
      <c r="AK833" s="42"/>
      <c r="AL833" s="42"/>
      <c r="AM833" s="42"/>
      <c r="AN833" s="42"/>
      <c r="AO833" s="42"/>
      <c r="AP833" s="42"/>
      <c r="AQ833" s="42"/>
      <c r="AR833" s="42" t="s">
        <v>160</v>
      </c>
      <c r="AS833" s="42" t="s">
        <v>160</v>
      </c>
      <c r="AT833" s="19"/>
      <c r="AU833" s="19"/>
      <c r="AV833" s="19"/>
      <c r="AW833" s="19"/>
      <c r="AX833" s="19"/>
      <c r="AY833" s="19"/>
      <c r="AZ833" s="42"/>
      <c r="BA833" s="42"/>
      <c r="BB833" s="42"/>
      <c r="BC833" s="42"/>
      <c r="BD833" s="42"/>
      <c r="BE833" s="42"/>
    </row>
    <row r="834" spans="1:57" x14ac:dyDescent="0.25">
      <c r="A834" s="114" t="s">
        <v>2773</v>
      </c>
      <c r="B834" s="169" t="s">
        <v>2927</v>
      </c>
      <c r="C834" s="169" t="s">
        <v>913</v>
      </c>
      <c r="D834" s="105" t="s">
        <v>775</v>
      </c>
      <c r="E834" s="93">
        <f>58+35/60+28.7988/3600</f>
        <v>58.591333000000006</v>
      </c>
      <c r="F834" s="93">
        <f>16+11/60+55.7988/3600</f>
        <v>16.198833</v>
      </c>
      <c r="G834" s="93"/>
      <c r="H834" s="94" t="s">
        <v>16</v>
      </c>
      <c r="I834" s="102" t="s">
        <v>169</v>
      </c>
      <c r="J834" s="102" t="s">
        <v>169</v>
      </c>
      <c r="K834" s="102" t="s">
        <v>16</v>
      </c>
      <c r="L834" s="102" t="s">
        <v>16</v>
      </c>
      <c r="M834" s="105" t="s">
        <v>2653</v>
      </c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  <c r="AA834" s="108"/>
      <c r="AB834" s="108"/>
      <c r="AC834" s="108"/>
      <c r="AD834" s="108"/>
      <c r="AE834" s="108"/>
      <c r="AF834" s="108"/>
      <c r="AG834" s="108"/>
      <c r="AH834" s="108"/>
      <c r="AI834" s="108"/>
      <c r="AJ834" s="108"/>
      <c r="AK834" s="108"/>
      <c r="AL834" s="108"/>
      <c r="AM834" s="108"/>
      <c r="AN834" s="108"/>
      <c r="AO834" s="108"/>
      <c r="AP834" s="108"/>
      <c r="AQ834" s="108"/>
      <c r="AR834" s="108" t="s">
        <v>160</v>
      </c>
      <c r="AS834" s="108" t="s">
        <v>160</v>
      </c>
      <c r="AT834" s="108"/>
      <c r="AU834" s="108"/>
      <c r="AV834" s="108"/>
      <c r="AW834" s="108"/>
      <c r="AX834" s="108"/>
      <c r="AY834" s="108"/>
      <c r="AZ834" s="108"/>
      <c r="BA834" s="108"/>
      <c r="BB834" s="108"/>
      <c r="BC834" s="108"/>
      <c r="BD834" s="108"/>
      <c r="BE834" s="108"/>
    </row>
    <row r="835" spans="1:57" x14ac:dyDescent="0.25">
      <c r="A835" s="6" t="s">
        <v>8</v>
      </c>
      <c r="B835" s="56">
        <v>35101</v>
      </c>
      <c r="C835" s="56" t="s">
        <v>913</v>
      </c>
      <c r="D835" s="7" t="s">
        <v>775</v>
      </c>
      <c r="E835" s="5">
        <f>58+35/60+28.7988/3600</f>
        <v>58.591333000000006</v>
      </c>
      <c r="F835" s="5">
        <f>16+11/60+55.7988/3600</f>
        <v>16.198833</v>
      </c>
      <c r="G835" s="5"/>
      <c r="H835" s="9" t="s">
        <v>16</v>
      </c>
      <c r="I835" s="24" t="s">
        <v>169</v>
      </c>
      <c r="J835" s="24" t="s">
        <v>169</v>
      </c>
      <c r="K835" s="24" t="s">
        <v>16</v>
      </c>
      <c r="L835" s="24" t="s">
        <v>16</v>
      </c>
      <c r="M835" s="7" t="s">
        <v>2653</v>
      </c>
      <c r="AR835" s="19" t="s">
        <v>160</v>
      </c>
      <c r="AS835" s="19" t="s">
        <v>160</v>
      </c>
      <c r="BB835" s="19"/>
      <c r="BC835" s="19"/>
      <c r="BD835" s="19"/>
      <c r="BE835" s="19"/>
    </row>
    <row r="836" spans="1:57" x14ac:dyDescent="0.25">
      <c r="A836" s="9" t="s">
        <v>706</v>
      </c>
      <c r="B836" s="38">
        <v>1</v>
      </c>
      <c r="C836" s="56" t="s">
        <v>913</v>
      </c>
      <c r="D836" s="62" t="s">
        <v>78</v>
      </c>
      <c r="E836" s="3">
        <f>58+35/60+29/3600</f>
        <v>58.591388888888893</v>
      </c>
      <c r="F836" s="3">
        <f>16+11/60+56/3600</f>
        <v>16.198888888888888</v>
      </c>
      <c r="H836" s="9" t="s">
        <v>16</v>
      </c>
      <c r="I836" s="7" t="s">
        <v>169</v>
      </c>
      <c r="J836" s="7" t="s">
        <v>169</v>
      </c>
      <c r="K836" s="9" t="s">
        <v>16</v>
      </c>
      <c r="L836" s="7" t="s">
        <v>16</v>
      </c>
      <c r="M836" s="7" t="s">
        <v>2653</v>
      </c>
      <c r="AR836" s="19" t="s">
        <v>160</v>
      </c>
      <c r="AS836" s="19" t="s">
        <v>160</v>
      </c>
      <c r="BB836" s="19"/>
      <c r="BC836" s="19"/>
      <c r="BD836" s="19"/>
      <c r="BE836" s="19"/>
    </row>
    <row r="837" spans="1:57" x14ac:dyDescent="0.25">
      <c r="A837" s="9" t="s">
        <v>707</v>
      </c>
      <c r="B837" s="39" t="s">
        <v>453</v>
      </c>
      <c r="C837" s="39" t="s">
        <v>912</v>
      </c>
      <c r="D837" s="40" t="s">
        <v>454</v>
      </c>
      <c r="E837" s="46" t="s">
        <v>456</v>
      </c>
      <c r="F837" s="46" t="s">
        <v>455</v>
      </c>
      <c r="G837" s="40"/>
      <c r="H837" s="9" t="s">
        <v>16</v>
      </c>
      <c r="I837" s="41" t="s">
        <v>169</v>
      </c>
      <c r="J837" s="41" t="s">
        <v>169</v>
      </c>
      <c r="K837" s="40" t="s">
        <v>16</v>
      </c>
      <c r="L837" s="41"/>
      <c r="M837" s="7" t="s">
        <v>2653</v>
      </c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2"/>
      <c r="AJ837" s="42"/>
      <c r="AK837" s="42"/>
      <c r="AL837" s="42"/>
      <c r="AM837" s="42"/>
      <c r="AN837" s="42"/>
      <c r="AO837" s="42"/>
      <c r="AP837" s="42"/>
      <c r="AQ837" s="42"/>
      <c r="AR837" s="42"/>
      <c r="AS837" s="42"/>
      <c r="AZ837" s="42"/>
      <c r="BA837" s="42"/>
      <c r="BB837" s="42"/>
      <c r="BC837" s="42"/>
      <c r="BD837" s="42"/>
      <c r="BE837" s="42"/>
    </row>
    <row r="838" spans="1:57" x14ac:dyDescent="0.25">
      <c r="A838" s="9" t="s">
        <v>707</v>
      </c>
      <c r="B838" s="39" t="s">
        <v>457</v>
      </c>
      <c r="C838" s="23" t="s">
        <v>866</v>
      </c>
      <c r="D838" s="40" t="s">
        <v>458</v>
      </c>
      <c r="E838" s="46" t="s">
        <v>456</v>
      </c>
      <c r="F838" s="46" t="s">
        <v>455</v>
      </c>
      <c r="G838" s="40"/>
      <c r="H838" s="9" t="s">
        <v>16</v>
      </c>
      <c r="I838" s="41" t="s">
        <v>169</v>
      </c>
      <c r="J838" s="41" t="s">
        <v>169</v>
      </c>
      <c r="K838" s="40" t="s">
        <v>16</v>
      </c>
      <c r="L838" s="41" t="s">
        <v>16</v>
      </c>
      <c r="M838" s="7" t="s">
        <v>2653</v>
      </c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2"/>
      <c r="AJ838" s="42"/>
      <c r="AK838" s="42"/>
      <c r="AL838" s="42"/>
      <c r="AM838" s="42"/>
      <c r="AN838" s="42"/>
      <c r="AO838" s="42"/>
      <c r="AP838" s="42"/>
      <c r="AQ838" s="42"/>
      <c r="AR838" s="42"/>
      <c r="AS838" s="42"/>
      <c r="AZ838" s="42"/>
      <c r="BA838" s="42"/>
      <c r="BB838" s="42"/>
      <c r="BC838" s="42"/>
      <c r="BD838" s="42"/>
      <c r="BE838" s="42"/>
    </row>
    <row r="839" spans="1:57" x14ac:dyDescent="0.25">
      <c r="A839" s="9" t="s">
        <v>706</v>
      </c>
      <c r="B839" s="38">
        <v>145</v>
      </c>
      <c r="C839" s="23" t="s">
        <v>866</v>
      </c>
      <c r="D839" s="6" t="s">
        <v>79</v>
      </c>
      <c r="E839" s="3">
        <v>58.591343000000002</v>
      </c>
      <c r="F839" s="3">
        <v>16.198833</v>
      </c>
      <c r="H839" s="9" t="s">
        <v>16</v>
      </c>
      <c r="I839" s="7" t="s">
        <v>169</v>
      </c>
      <c r="J839" s="7" t="s">
        <v>169</v>
      </c>
      <c r="K839" s="9" t="s">
        <v>16</v>
      </c>
      <c r="L839" s="7" t="s">
        <v>16</v>
      </c>
      <c r="M839" s="7" t="s">
        <v>2653</v>
      </c>
      <c r="BB839" s="19"/>
      <c r="BC839" s="19"/>
      <c r="BD839" s="19"/>
      <c r="BE839" s="19"/>
    </row>
    <row r="840" spans="1:57" x14ac:dyDescent="0.25">
      <c r="A840" s="9" t="s">
        <v>707</v>
      </c>
      <c r="B840" s="39" t="s">
        <v>459</v>
      </c>
      <c r="C840" s="23" t="s">
        <v>867</v>
      </c>
      <c r="D840" s="40" t="s">
        <v>460</v>
      </c>
      <c r="E840" s="46" t="s">
        <v>456</v>
      </c>
      <c r="F840" s="46" t="s">
        <v>455</v>
      </c>
      <c r="G840" s="40"/>
      <c r="H840" s="9" t="s">
        <v>16</v>
      </c>
      <c r="I840" s="41" t="s">
        <v>169</v>
      </c>
      <c r="J840" s="41" t="s">
        <v>169</v>
      </c>
      <c r="K840" s="40" t="s">
        <v>16</v>
      </c>
      <c r="L840" s="41" t="s">
        <v>16</v>
      </c>
      <c r="M840" s="7" t="s">
        <v>2653</v>
      </c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2"/>
      <c r="AJ840" s="42"/>
      <c r="AK840" s="42"/>
      <c r="AL840" s="42"/>
      <c r="AM840" s="42"/>
      <c r="AN840" s="42"/>
      <c r="AO840" s="42"/>
      <c r="AP840" s="42"/>
      <c r="AQ840" s="42"/>
      <c r="AR840" s="42"/>
      <c r="AS840" s="42"/>
      <c r="AZ840" s="42"/>
      <c r="BA840" s="42"/>
      <c r="BB840" s="42"/>
      <c r="BC840" s="42"/>
      <c r="BD840" s="42"/>
      <c r="BE840" s="42"/>
    </row>
    <row r="841" spans="1:57" x14ac:dyDescent="0.25">
      <c r="A841" s="9" t="s">
        <v>706</v>
      </c>
      <c r="B841" s="38">
        <v>146</v>
      </c>
      <c r="C841" s="23" t="s">
        <v>867</v>
      </c>
      <c r="D841" s="6" t="s">
        <v>80</v>
      </c>
      <c r="E841" s="3">
        <v>58.591352999999998</v>
      </c>
      <c r="F841" s="3">
        <v>16.198833</v>
      </c>
      <c r="H841" s="9" t="s">
        <v>16</v>
      </c>
      <c r="I841" s="7" t="s">
        <v>169</v>
      </c>
      <c r="J841" s="7" t="s">
        <v>169</v>
      </c>
      <c r="K841" s="9" t="s">
        <v>16</v>
      </c>
      <c r="L841" s="7" t="s">
        <v>16</v>
      </c>
      <c r="M841" s="7" t="s">
        <v>2653</v>
      </c>
      <c r="BB841" s="19"/>
      <c r="BC841" s="19"/>
      <c r="BD841" s="19"/>
      <c r="BE841" s="19"/>
    </row>
    <row r="842" spans="1:57" x14ac:dyDescent="0.25">
      <c r="A842" s="6" t="s">
        <v>8</v>
      </c>
      <c r="B842" s="9">
        <v>98460</v>
      </c>
      <c r="C842" s="9" t="s">
        <v>2429</v>
      </c>
      <c r="D842" s="9" t="s">
        <v>2428</v>
      </c>
      <c r="E842" s="3">
        <v>59.750599999999999</v>
      </c>
      <c r="F842" s="3">
        <v>18.709099999999999</v>
      </c>
      <c r="G842" s="9">
        <v>25</v>
      </c>
      <c r="H842" s="9" t="s">
        <v>150</v>
      </c>
      <c r="I842" s="6" t="s">
        <v>8</v>
      </c>
      <c r="J842" s="21" t="s">
        <v>8</v>
      </c>
      <c r="K842" s="3" t="s">
        <v>5</v>
      </c>
      <c r="L842" s="5" t="s">
        <v>2680</v>
      </c>
      <c r="M842" s="7" t="s">
        <v>717</v>
      </c>
      <c r="N842" s="19" t="s">
        <v>2513</v>
      </c>
      <c r="O842" s="22"/>
      <c r="P842" s="19" t="s">
        <v>160</v>
      </c>
      <c r="AR842" s="19" t="s">
        <v>160</v>
      </c>
      <c r="AT842" s="19" t="s">
        <v>160</v>
      </c>
      <c r="AV842" s="19" t="s">
        <v>160</v>
      </c>
      <c r="AX842" s="19" t="s">
        <v>160</v>
      </c>
      <c r="AZ842" s="19" t="s">
        <v>160</v>
      </c>
      <c r="BB842" s="19"/>
      <c r="BC842" s="19"/>
      <c r="BD842" s="19"/>
      <c r="BE842" s="19"/>
    </row>
    <row r="843" spans="1:57" s="116" customFormat="1" x14ac:dyDescent="0.25">
      <c r="A843" s="9" t="s">
        <v>707</v>
      </c>
      <c r="B843" s="137" t="s">
        <v>463</v>
      </c>
      <c r="C843" s="23" t="s">
        <v>852</v>
      </c>
      <c r="D843" s="40" t="s">
        <v>464</v>
      </c>
      <c r="E843" s="46" t="s">
        <v>466</v>
      </c>
      <c r="F843" s="46" t="s">
        <v>465</v>
      </c>
      <c r="G843" s="40"/>
      <c r="H843" s="9" t="s">
        <v>150</v>
      </c>
      <c r="I843" s="41" t="s">
        <v>2639</v>
      </c>
      <c r="J843" s="7" t="s">
        <v>169</v>
      </c>
      <c r="K843" s="40" t="s">
        <v>40</v>
      </c>
      <c r="L843" s="41" t="s">
        <v>2057</v>
      </c>
      <c r="M843" s="7" t="s">
        <v>2653</v>
      </c>
      <c r="N843" s="19"/>
      <c r="O843" s="19"/>
      <c r="P843" s="19"/>
      <c r="Q843" s="19"/>
      <c r="R843" s="19"/>
      <c r="S843" s="19"/>
      <c r="T843" s="19"/>
      <c r="U843" s="19"/>
      <c r="V843" s="42" t="s">
        <v>160</v>
      </c>
      <c r="W843" s="42" t="s">
        <v>160</v>
      </c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2"/>
      <c r="AJ843" s="42"/>
      <c r="AK843" s="42"/>
      <c r="AL843" s="42"/>
      <c r="AM843" s="42"/>
      <c r="AN843" s="42"/>
      <c r="AO843" s="42"/>
      <c r="AP843" s="42"/>
      <c r="AQ843" s="42"/>
      <c r="AR843" s="42" t="s">
        <v>160</v>
      </c>
      <c r="AS843" s="42" t="s">
        <v>160</v>
      </c>
      <c r="AT843" s="19"/>
      <c r="AU843" s="19"/>
      <c r="AV843" s="19"/>
      <c r="AW843" s="19"/>
      <c r="AX843" s="19"/>
      <c r="AY843" s="19"/>
      <c r="AZ843" s="42" t="s">
        <v>160</v>
      </c>
      <c r="BA843" s="42" t="s">
        <v>160</v>
      </c>
      <c r="BB843" s="42"/>
      <c r="BC843" s="42"/>
      <c r="BD843" s="42"/>
      <c r="BE843" s="42"/>
    </row>
    <row r="844" spans="1:57" s="33" customFormat="1" x14ac:dyDescent="0.25">
      <c r="A844" s="122" t="s">
        <v>2773</v>
      </c>
      <c r="B844" s="147" t="s">
        <v>3042</v>
      </c>
      <c r="C844" s="105" t="s">
        <v>852</v>
      </c>
      <c r="D844" s="163" t="s">
        <v>852</v>
      </c>
      <c r="E844" s="120">
        <f>58+56/60+16/3600</f>
        <v>58.937777777777775</v>
      </c>
      <c r="F844" s="120">
        <f>17+58/60+48/3600</f>
        <v>17.979999999999997</v>
      </c>
      <c r="G844" s="116"/>
      <c r="H844" s="105" t="s">
        <v>150</v>
      </c>
      <c r="I844" s="113" t="s">
        <v>2639</v>
      </c>
      <c r="J844" s="105" t="s">
        <v>169</v>
      </c>
      <c r="K844" s="105" t="s">
        <v>40</v>
      </c>
      <c r="L844" s="105" t="s">
        <v>2699</v>
      </c>
      <c r="M844" s="105" t="s">
        <v>2653</v>
      </c>
      <c r="N844" s="108"/>
      <c r="O844" s="104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  <c r="AA844" s="108"/>
      <c r="AB844" s="108"/>
      <c r="AC844" s="108"/>
      <c r="AD844" s="108"/>
      <c r="AE844" s="108"/>
      <c r="AF844" s="108"/>
      <c r="AG844" s="108"/>
      <c r="AH844" s="108"/>
      <c r="AI844" s="108"/>
      <c r="AJ844" s="108"/>
      <c r="AK844" s="108"/>
      <c r="AL844" s="108"/>
      <c r="AM844" s="108"/>
      <c r="AN844" s="108"/>
      <c r="AO844" s="108"/>
      <c r="AP844" s="108"/>
      <c r="AQ844" s="108"/>
      <c r="AR844" s="108" t="s">
        <v>160</v>
      </c>
      <c r="AS844" s="108" t="s">
        <v>160</v>
      </c>
      <c r="AT844" s="108" t="s">
        <v>160</v>
      </c>
      <c r="AU844" s="108" t="s">
        <v>160</v>
      </c>
      <c r="AV844" s="108"/>
      <c r="AW844" s="108"/>
      <c r="AX844" s="108"/>
      <c r="AY844" s="108"/>
      <c r="AZ844" s="108" t="s">
        <v>160</v>
      </c>
      <c r="BA844" s="108" t="s">
        <v>160</v>
      </c>
      <c r="BB844" s="108"/>
      <c r="BC844" s="108"/>
      <c r="BD844" s="108"/>
      <c r="BE844" s="108"/>
    </row>
    <row r="845" spans="1:57" x14ac:dyDescent="0.25">
      <c r="A845" s="32" t="s">
        <v>8</v>
      </c>
      <c r="B845" s="144" t="s">
        <v>875</v>
      </c>
      <c r="C845" s="33" t="s">
        <v>852</v>
      </c>
      <c r="D845" s="33" t="s">
        <v>852</v>
      </c>
      <c r="E845" s="35">
        <f>58+56/60+16/3600</f>
        <v>58.937777777777775</v>
      </c>
      <c r="F845" s="35">
        <f>17+58/60+48/3600</f>
        <v>17.979999999999997</v>
      </c>
      <c r="G845" s="33"/>
      <c r="H845" s="33" t="s">
        <v>150</v>
      </c>
      <c r="I845" s="41" t="s">
        <v>2639</v>
      </c>
      <c r="J845" s="33" t="s">
        <v>169</v>
      </c>
      <c r="K845" s="33" t="s">
        <v>40</v>
      </c>
      <c r="L845" s="33" t="s">
        <v>2699</v>
      </c>
      <c r="M845" s="33" t="s">
        <v>2653</v>
      </c>
      <c r="N845" s="37"/>
      <c r="O845" s="6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  <c r="AI845" s="37"/>
      <c r="AJ845" s="37"/>
      <c r="AK845" s="37"/>
      <c r="AL845" s="37"/>
      <c r="AM845" s="37"/>
      <c r="AN845" s="37"/>
      <c r="AO845" s="37"/>
      <c r="AP845" s="37"/>
      <c r="AQ845" s="37"/>
      <c r="AR845" s="37" t="s">
        <v>160</v>
      </c>
      <c r="AS845" s="37" t="s">
        <v>160</v>
      </c>
      <c r="AT845" s="37" t="s">
        <v>160</v>
      </c>
      <c r="AU845" s="37" t="s">
        <v>160</v>
      </c>
      <c r="AV845" s="37"/>
      <c r="AW845" s="37"/>
      <c r="AX845" s="37"/>
      <c r="AY845" s="37"/>
      <c r="AZ845" s="37" t="s">
        <v>160</v>
      </c>
      <c r="BA845" s="37" t="s">
        <v>160</v>
      </c>
      <c r="BB845" s="37"/>
      <c r="BC845" s="37"/>
      <c r="BD845" s="37"/>
      <c r="BE845" s="37"/>
    </row>
    <row r="846" spans="1:57" x14ac:dyDescent="0.25">
      <c r="A846" s="9" t="s">
        <v>706</v>
      </c>
      <c r="B846" s="140">
        <v>180</v>
      </c>
      <c r="C846" s="23" t="s">
        <v>852</v>
      </c>
      <c r="D846" s="88" t="s">
        <v>81</v>
      </c>
      <c r="E846" s="3">
        <f>58+56/60+16/3600</f>
        <v>58.937777777777775</v>
      </c>
      <c r="F846" s="3">
        <f>17+58/60+48/3600</f>
        <v>17.979999999999997</v>
      </c>
      <c r="G846" s="9"/>
      <c r="H846" s="9" t="s">
        <v>150</v>
      </c>
      <c r="I846" s="41" t="s">
        <v>2639</v>
      </c>
      <c r="J846" s="7" t="s">
        <v>169</v>
      </c>
      <c r="K846" s="9" t="s">
        <v>40</v>
      </c>
      <c r="L846" s="7" t="s">
        <v>2699</v>
      </c>
      <c r="M846" s="7" t="s">
        <v>2653</v>
      </c>
      <c r="V846" s="19" t="s">
        <v>160</v>
      </c>
      <c r="W846" s="19" t="s">
        <v>160</v>
      </c>
      <c r="AR846" s="19" t="s">
        <v>160</v>
      </c>
      <c r="AS846" s="19" t="s">
        <v>160</v>
      </c>
      <c r="AT846" s="19" t="s">
        <v>160</v>
      </c>
      <c r="AU846" s="19" t="s">
        <v>160</v>
      </c>
      <c r="AZ846" s="19" t="s">
        <v>160</v>
      </c>
      <c r="BA846" s="19" t="s">
        <v>160</v>
      </c>
      <c r="BB846" s="19"/>
      <c r="BC846" s="19"/>
      <c r="BD846" s="19"/>
      <c r="BE846" s="19"/>
    </row>
    <row r="847" spans="1:57" s="105" customFormat="1" x14ac:dyDescent="0.25">
      <c r="A847" s="9" t="s">
        <v>707</v>
      </c>
      <c r="B847" s="39" t="s">
        <v>471</v>
      </c>
      <c r="C847" s="39" t="s">
        <v>914</v>
      </c>
      <c r="D847" s="40" t="s">
        <v>472</v>
      </c>
      <c r="E847" s="46" t="s">
        <v>474</v>
      </c>
      <c r="F847" s="46" t="s">
        <v>473</v>
      </c>
      <c r="G847" s="40"/>
      <c r="H847" s="9" t="s">
        <v>150</v>
      </c>
      <c r="I847" s="41" t="s">
        <v>2639</v>
      </c>
      <c r="J847" s="7" t="s">
        <v>169</v>
      </c>
      <c r="K847" s="40" t="s">
        <v>5</v>
      </c>
      <c r="L847" s="41" t="s">
        <v>2043</v>
      </c>
      <c r="M847" s="7" t="s">
        <v>2653</v>
      </c>
      <c r="N847" s="19"/>
      <c r="O847" s="19"/>
      <c r="P847" s="19"/>
      <c r="Q847" s="19"/>
      <c r="R847" s="19"/>
      <c r="S847" s="19"/>
      <c r="T847" s="19"/>
      <c r="U847" s="19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2"/>
      <c r="AJ847" s="42"/>
      <c r="AK847" s="42"/>
      <c r="AL847" s="42"/>
      <c r="AM847" s="42"/>
      <c r="AN847" s="42"/>
      <c r="AO847" s="42"/>
      <c r="AP847" s="42"/>
      <c r="AQ847" s="42"/>
      <c r="AR847" s="42" t="s">
        <v>160</v>
      </c>
      <c r="AS847" s="42" t="s">
        <v>160</v>
      </c>
      <c r="AT847" s="19"/>
      <c r="AU847" s="19"/>
      <c r="AV847" s="19"/>
      <c r="AW847" s="19"/>
      <c r="AX847" s="19"/>
      <c r="AY847" s="19"/>
      <c r="AZ847" s="42"/>
      <c r="BA847" s="42"/>
      <c r="BB847" s="42"/>
      <c r="BC847" s="42"/>
      <c r="BD847" s="42"/>
      <c r="BE847" s="42"/>
    </row>
    <row r="848" spans="1:57" x14ac:dyDescent="0.25">
      <c r="A848" s="122" t="s">
        <v>2773</v>
      </c>
      <c r="B848" s="169" t="s">
        <v>2942</v>
      </c>
      <c r="C848" s="171" t="s">
        <v>914</v>
      </c>
      <c r="D848" s="105" t="s">
        <v>822</v>
      </c>
      <c r="E848" s="120">
        <v>58.908104000000002</v>
      </c>
      <c r="F848" s="120">
        <v>17.958342999999999</v>
      </c>
      <c r="G848" s="93"/>
      <c r="H848" s="105" t="s">
        <v>150</v>
      </c>
      <c r="I848" s="102" t="s">
        <v>2639</v>
      </c>
      <c r="J848" s="105" t="s">
        <v>169</v>
      </c>
      <c r="K848" s="102" t="s">
        <v>5</v>
      </c>
      <c r="L848" s="102" t="s">
        <v>2043</v>
      </c>
      <c r="M848" s="105" t="s">
        <v>2653</v>
      </c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  <c r="AA848" s="108"/>
      <c r="AB848" s="108"/>
      <c r="AC848" s="108"/>
      <c r="AD848" s="108"/>
      <c r="AE848" s="108"/>
      <c r="AF848" s="108"/>
      <c r="AG848" s="108"/>
      <c r="AH848" s="108"/>
      <c r="AI848" s="108"/>
      <c r="AJ848" s="108"/>
      <c r="AK848" s="108"/>
      <c r="AL848" s="108"/>
      <c r="AM848" s="108"/>
      <c r="AN848" s="108"/>
      <c r="AO848" s="108"/>
      <c r="AP848" s="108"/>
      <c r="AQ848" s="108"/>
      <c r="AR848" s="108" t="s">
        <v>160</v>
      </c>
      <c r="AS848" s="108" t="s">
        <v>160</v>
      </c>
      <c r="AT848" s="108"/>
      <c r="AU848" s="108"/>
      <c r="AV848" s="108"/>
      <c r="AW848" s="108"/>
      <c r="AX848" s="108"/>
      <c r="AY848" s="108"/>
      <c r="AZ848" s="108"/>
      <c r="BA848" s="108"/>
      <c r="BB848" s="108"/>
      <c r="BC848" s="108"/>
      <c r="BD848" s="108"/>
      <c r="BE848" s="108"/>
    </row>
    <row r="849" spans="1:57" x14ac:dyDescent="0.25">
      <c r="A849" s="32" t="s">
        <v>8</v>
      </c>
      <c r="B849" s="69" t="s">
        <v>875</v>
      </c>
      <c r="C849" s="58" t="s">
        <v>914</v>
      </c>
      <c r="D849" s="33" t="s">
        <v>822</v>
      </c>
      <c r="E849" s="35">
        <v>58.908104000000002</v>
      </c>
      <c r="F849" s="35">
        <v>17.958342999999999</v>
      </c>
      <c r="G849" s="35"/>
      <c r="H849" s="33" t="s">
        <v>150</v>
      </c>
      <c r="I849" s="24" t="s">
        <v>2639</v>
      </c>
      <c r="J849" s="33" t="s">
        <v>169</v>
      </c>
      <c r="K849" s="36" t="s">
        <v>5</v>
      </c>
      <c r="L849" s="36" t="s">
        <v>2043</v>
      </c>
      <c r="M849" s="33" t="s">
        <v>2653</v>
      </c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7"/>
      <c r="AJ849" s="37"/>
      <c r="AK849" s="37"/>
      <c r="AL849" s="37"/>
      <c r="AM849" s="37"/>
      <c r="AN849" s="37"/>
      <c r="AO849" s="37"/>
      <c r="AP849" s="37"/>
      <c r="AQ849" s="37"/>
      <c r="AR849" s="37" t="s">
        <v>160</v>
      </c>
      <c r="AS849" s="37" t="s">
        <v>160</v>
      </c>
      <c r="AT849" s="37"/>
      <c r="AU849" s="37"/>
      <c r="AV849" s="37"/>
      <c r="AW849" s="37"/>
      <c r="AX849" s="37"/>
      <c r="AY849" s="37"/>
      <c r="AZ849" s="37"/>
      <c r="BA849" s="37"/>
      <c r="BB849" s="37"/>
      <c r="BC849" s="37"/>
      <c r="BD849" s="37"/>
      <c r="BE849" s="37"/>
    </row>
    <row r="850" spans="1:57" x14ac:dyDescent="0.25">
      <c r="A850" s="9" t="s">
        <v>706</v>
      </c>
      <c r="B850" s="38">
        <v>105</v>
      </c>
      <c r="C850" s="39" t="s">
        <v>914</v>
      </c>
      <c r="D850" s="62" t="s">
        <v>83</v>
      </c>
      <c r="E850" s="3">
        <f>58+54/60+29/3600</f>
        <v>58.908055555555556</v>
      </c>
      <c r="F850" s="3">
        <f>17+57/60+30/3600</f>
        <v>17.958333333333332</v>
      </c>
      <c r="G850" s="5"/>
      <c r="H850" s="9" t="s">
        <v>150</v>
      </c>
      <c r="I850" s="41" t="s">
        <v>2639</v>
      </c>
      <c r="J850" s="7" t="s">
        <v>169</v>
      </c>
      <c r="K850" s="9" t="s">
        <v>5</v>
      </c>
      <c r="L850" s="7" t="s">
        <v>2043</v>
      </c>
      <c r="M850" s="7" t="s">
        <v>2653</v>
      </c>
      <c r="AR850" s="19" t="s">
        <v>160</v>
      </c>
      <c r="AS850" s="19" t="s">
        <v>160</v>
      </c>
      <c r="BB850" s="19"/>
      <c r="BC850" s="19"/>
      <c r="BD850" s="19"/>
      <c r="BE850" s="19"/>
    </row>
    <row r="851" spans="1:57" x14ac:dyDescent="0.25">
      <c r="A851" s="9" t="s">
        <v>707</v>
      </c>
      <c r="B851" s="137" t="s">
        <v>467</v>
      </c>
      <c r="C851" s="23" t="s">
        <v>868</v>
      </c>
      <c r="D851" s="40" t="s">
        <v>468</v>
      </c>
      <c r="E851" s="46" t="s">
        <v>470</v>
      </c>
      <c r="F851" s="46" t="s">
        <v>469</v>
      </c>
      <c r="G851" s="40"/>
      <c r="H851" s="9" t="s">
        <v>150</v>
      </c>
      <c r="I851" s="41" t="s">
        <v>169</v>
      </c>
      <c r="J851" s="41" t="s">
        <v>169</v>
      </c>
      <c r="K851" s="40" t="s">
        <v>6</v>
      </c>
      <c r="L851" s="41" t="s">
        <v>2031</v>
      </c>
      <c r="M851" s="7" t="s">
        <v>2653</v>
      </c>
      <c r="N851" s="42" t="s">
        <v>1161</v>
      </c>
      <c r="O851" s="42" t="s">
        <v>160</v>
      </c>
      <c r="P851" s="42" t="s">
        <v>160</v>
      </c>
      <c r="Q851" s="44" t="s">
        <v>1160</v>
      </c>
      <c r="S851" s="19" t="s">
        <v>160</v>
      </c>
      <c r="T851" s="19" t="s">
        <v>160</v>
      </c>
      <c r="U851" s="19">
        <v>2</v>
      </c>
      <c r="V851" s="42" t="s">
        <v>160</v>
      </c>
      <c r="W851" s="42" t="s">
        <v>160</v>
      </c>
      <c r="X851" s="42" t="s">
        <v>160</v>
      </c>
      <c r="Y851" s="42" t="s">
        <v>160</v>
      </c>
      <c r="Z851" s="42"/>
      <c r="AA851" s="42"/>
      <c r="AB851" s="42"/>
      <c r="AC851" s="42"/>
      <c r="AD851" s="42"/>
      <c r="AE851" s="42"/>
      <c r="AF851" s="42"/>
      <c r="AG851" s="42"/>
      <c r="AH851" s="42"/>
      <c r="AI851" s="42"/>
      <c r="AJ851" s="42"/>
      <c r="AK851" s="42"/>
      <c r="AL851" s="42"/>
      <c r="AM851" s="42"/>
      <c r="AN851" s="42"/>
      <c r="AO851" s="42"/>
      <c r="AP851" s="42"/>
      <c r="AQ851" s="42"/>
      <c r="AR851" s="42"/>
      <c r="AS851" s="42"/>
      <c r="AZ851" s="42"/>
      <c r="BA851" s="42"/>
      <c r="BB851" s="42"/>
      <c r="BC851" s="42"/>
      <c r="BD851" s="42"/>
      <c r="BE851" s="42"/>
    </row>
    <row r="852" spans="1:57" x14ac:dyDescent="0.25">
      <c r="A852" s="53" t="s">
        <v>2763</v>
      </c>
      <c r="B852" s="143">
        <v>35112</v>
      </c>
      <c r="C852" s="85" t="s">
        <v>868</v>
      </c>
      <c r="D852" s="85" t="s">
        <v>2756</v>
      </c>
      <c r="E852" s="35">
        <v>58.900640000000003</v>
      </c>
      <c r="F852" s="35">
        <v>17.953583999999999</v>
      </c>
      <c r="G852" s="85">
        <v>1.49</v>
      </c>
      <c r="H852" s="9" t="s">
        <v>150</v>
      </c>
      <c r="I852" s="14" t="s">
        <v>169</v>
      </c>
      <c r="J852" s="85" t="s">
        <v>169</v>
      </c>
      <c r="K852" s="7" t="s">
        <v>6</v>
      </c>
      <c r="L852" s="7" t="s">
        <v>2031</v>
      </c>
      <c r="M852" s="7" t="s">
        <v>2653</v>
      </c>
      <c r="N852" s="42" t="s">
        <v>1161</v>
      </c>
      <c r="O852" s="42" t="s">
        <v>160</v>
      </c>
      <c r="P852" s="42" t="s">
        <v>160</v>
      </c>
      <c r="Q852" s="44" t="s">
        <v>1160</v>
      </c>
      <c r="S852" s="19" t="s">
        <v>160</v>
      </c>
      <c r="T852" s="19" t="s">
        <v>160</v>
      </c>
      <c r="U852" s="42">
        <v>2</v>
      </c>
      <c r="V852" s="20" t="s">
        <v>160</v>
      </c>
      <c r="W852" s="20" t="s">
        <v>160</v>
      </c>
      <c r="X852" s="20" t="s">
        <v>160</v>
      </c>
      <c r="Y852" s="20" t="s">
        <v>160</v>
      </c>
      <c r="Z852" s="85"/>
      <c r="AA852" s="85"/>
      <c r="AB852" s="85"/>
      <c r="AC852" s="85"/>
      <c r="AD852" s="85"/>
      <c r="AE852" s="85"/>
      <c r="AF852" s="85"/>
      <c r="AG852" s="85"/>
      <c r="AH852" s="85"/>
      <c r="AI852" s="85"/>
      <c r="AJ852" s="85"/>
      <c r="AK852" s="85"/>
      <c r="AL852" s="85"/>
      <c r="AM852" s="85"/>
      <c r="AN852" s="85"/>
      <c r="AO852" s="85"/>
      <c r="AP852" s="85"/>
      <c r="AQ852" s="85"/>
      <c r="AR852" s="85"/>
      <c r="AS852" s="85"/>
      <c r="AT852" s="85"/>
      <c r="AU852" s="85"/>
      <c r="AV852" s="85"/>
      <c r="AW852" s="85"/>
      <c r="AX852" s="85"/>
      <c r="AY852" s="85"/>
      <c r="AZ852" s="85"/>
      <c r="BA852" s="85"/>
      <c r="BB852" s="85"/>
      <c r="BC852" s="85"/>
      <c r="BD852" s="85"/>
      <c r="BE852" s="85"/>
    </row>
    <row r="853" spans="1:57" s="94" customFormat="1" x14ac:dyDescent="0.25">
      <c r="A853" s="105" t="s">
        <v>2773</v>
      </c>
      <c r="B853" s="139" t="s">
        <v>2807</v>
      </c>
      <c r="C853" s="110" t="s">
        <v>868</v>
      </c>
      <c r="D853" s="163" t="s">
        <v>749</v>
      </c>
      <c r="E853" s="82">
        <f>58+54/60+2.2968/3600</f>
        <v>58.900638000000001</v>
      </c>
      <c r="F853" s="82">
        <f>17+57/60+12.9096/3600</f>
        <v>17.953585999999998</v>
      </c>
      <c r="G853" s="178">
        <v>1.49</v>
      </c>
      <c r="H853" s="105" t="s">
        <v>150</v>
      </c>
      <c r="I853" s="105" t="s">
        <v>169</v>
      </c>
      <c r="J853" s="105" t="s">
        <v>169</v>
      </c>
      <c r="K853" s="105" t="s">
        <v>6</v>
      </c>
      <c r="L853" s="105" t="s">
        <v>2031</v>
      </c>
      <c r="M853" s="105" t="s">
        <v>2653</v>
      </c>
      <c r="N853" s="106" t="s">
        <v>1161</v>
      </c>
      <c r="O853" s="106" t="s">
        <v>160</v>
      </c>
      <c r="P853" s="106" t="s">
        <v>160</v>
      </c>
      <c r="Q853" s="107" t="s">
        <v>1160</v>
      </c>
      <c r="R853" s="108"/>
      <c r="S853" s="108" t="s">
        <v>160</v>
      </c>
      <c r="T853" s="108" t="s">
        <v>160</v>
      </c>
      <c r="U853" s="106">
        <v>2</v>
      </c>
      <c r="V853" s="103" t="s">
        <v>160</v>
      </c>
      <c r="W853" s="103" t="s">
        <v>160</v>
      </c>
      <c r="X853" s="103" t="s">
        <v>160</v>
      </c>
      <c r="Y853" s="103" t="s">
        <v>160</v>
      </c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  <c r="BD853" s="103"/>
      <c r="BE853" s="103"/>
    </row>
    <row r="854" spans="1:57" x14ac:dyDescent="0.25">
      <c r="A854" s="7" t="s">
        <v>8</v>
      </c>
      <c r="B854" s="142" t="s">
        <v>2928</v>
      </c>
      <c r="C854" s="23" t="s">
        <v>868</v>
      </c>
      <c r="D854" s="24" t="s">
        <v>749</v>
      </c>
      <c r="E854" s="193">
        <v>58.900700000000001</v>
      </c>
      <c r="F854" s="193">
        <v>17.953600000000002</v>
      </c>
      <c r="G854" s="43"/>
      <c r="H854" s="7" t="s">
        <v>150</v>
      </c>
      <c r="I854" s="7" t="s">
        <v>169</v>
      </c>
      <c r="J854" s="7" t="s">
        <v>169</v>
      </c>
      <c r="K854" s="7" t="s">
        <v>6</v>
      </c>
      <c r="L854" s="7" t="s">
        <v>2031</v>
      </c>
      <c r="M854" s="7" t="s">
        <v>2653</v>
      </c>
      <c r="N854" s="42" t="s">
        <v>1161</v>
      </c>
      <c r="O854" s="42" t="s">
        <v>160</v>
      </c>
      <c r="P854" s="42" t="s">
        <v>160</v>
      </c>
      <c r="Q854" s="44" t="s">
        <v>1160</v>
      </c>
      <c r="S854" s="19" t="s">
        <v>160</v>
      </c>
      <c r="T854" s="19" t="s">
        <v>160</v>
      </c>
      <c r="U854" s="42">
        <v>2</v>
      </c>
      <c r="V854" s="20" t="s">
        <v>160</v>
      </c>
      <c r="W854" s="20" t="s">
        <v>160</v>
      </c>
      <c r="X854" s="20" t="s">
        <v>160</v>
      </c>
      <c r="Y854" s="20" t="s">
        <v>160</v>
      </c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  <c r="AU854" s="20"/>
      <c r="AV854" s="20"/>
      <c r="AW854" s="20"/>
      <c r="AX854" s="20"/>
      <c r="AY854" s="20"/>
      <c r="AZ854" s="20"/>
      <c r="BA854" s="20"/>
      <c r="BB854" s="20"/>
      <c r="BC854" s="20"/>
      <c r="BD854" s="20"/>
      <c r="BE854" s="20"/>
    </row>
    <row r="855" spans="1:57" x14ac:dyDescent="0.25">
      <c r="A855" s="9" t="s">
        <v>706</v>
      </c>
      <c r="B855" s="140">
        <v>173</v>
      </c>
      <c r="C855" s="23" t="s">
        <v>868</v>
      </c>
      <c r="D855" s="88" t="s">
        <v>82</v>
      </c>
      <c r="E855" s="35">
        <f>58+54/60+0/3600</f>
        <v>58.9</v>
      </c>
      <c r="F855" s="35">
        <f>17+57/60+13/3600</f>
        <v>17.953611111111112</v>
      </c>
      <c r="G855" s="43"/>
      <c r="H855" s="9" t="s">
        <v>150</v>
      </c>
      <c r="I855" s="7" t="s">
        <v>169</v>
      </c>
      <c r="J855" s="7" t="s">
        <v>169</v>
      </c>
      <c r="K855" s="9" t="s">
        <v>6</v>
      </c>
      <c r="L855" s="7" t="s">
        <v>2031</v>
      </c>
      <c r="M855" s="7" t="s">
        <v>2653</v>
      </c>
      <c r="N855" s="42" t="s">
        <v>1161</v>
      </c>
      <c r="O855" s="42" t="s">
        <v>160</v>
      </c>
      <c r="P855" s="42" t="s">
        <v>160</v>
      </c>
      <c r="Q855" s="44" t="s">
        <v>1160</v>
      </c>
      <c r="S855" s="19" t="s">
        <v>160</v>
      </c>
      <c r="T855" s="19" t="s">
        <v>160</v>
      </c>
      <c r="U855" s="19">
        <v>2</v>
      </c>
      <c r="V855" s="19" t="s">
        <v>160</v>
      </c>
      <c r="W855" s="19" t="s">
        <v>160</v>
      </c>
      <c r="X855" s="19" t="s">
        <v>160</v>
      </c>
      <c r="Y855" s="19" t="s">
        <v>160</v>
      </c>
      <c r="BB855" s="19"/>
      <c r="BC855" s="19"/>
      <c r="BD855" s="19"/>
      <c r="BE855" s="19"/>
    </row>
    <row r="856" spans="1:57" x14ac:dyDescent="0.25">
      <c r="A856" s="6" t="s">
        <v>8</v>
      </c>
      <c r="B856" s="9">
        <v>87570</v>
      </c>
      <c r="C856" s="9" t="s">
        <v>2258</v>
      </c>
      <c r="D856" s="9" t="s">
        <v>822</v>
      </c>
      <c r="E856" s="3">
        <v>58.918999999999997</v>
      </c>
      <c r="F856" s="3">
        <v>17.931799999999999</v>
      </c>
      <c r="G856" s="9">
        <v>10</v>
      </c>
      <c r="H856" s="3" t="s">
        <v>150</v>
      </c>
      <c r="I856" s="6" t="s">
        <v>8</v>
      </c>
      <c r="J856" s="21" t="s">
        <v>8</v>
      </c>
      <c r="K856" s="3" t="s">
        <v>5</v>
      </c>
      <c r="L856" s="5" t="s">
        <v>2028</v>
      </c>
      <c r="M856" s="5" t="s">
        <v>717</v>
      </c>
      <c r="N856" s="19" t="s">
        <v>2574</v>
      </c>
      <c r="O856" s="22"/>
      <c r="P856" s="19" t="s">
        <v>160</v>
      </c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19" t="s">
        <v>160</v>
      </c>
      <c r="BB856" s="19"/>
      <c r="BC856" s="19"/>
      <c r="BD856" s="19"/>
      <c r="BE856" s="19"/>
    </row>
    <row r="857" spans="1:57" s="94" customFormat="1" x14ac:dyDescent="0.25">
      <c r="A857" s="9" t="s">
        <v>707</v>
      </c>
      <c r="B857" s="39" t="s">
        <v>475</v>
      </c>
      <c r="C857" s="39" t="s">
        <v>915</v>
      </c>
      <c r="D857" s="40" t="s">
        <v>476</v>
      </c>
      <c r="E857" s="46" t="s">
        <v>2142</v>
      </c>
      <c r="F857" s="46" t="s">
        <v>2143</v>
      </c>
      <c r="G857" s="9"/>
      <c r="H857" s="9" t="s">
        <v>150</v>
      </c>
      <c r="I857" s="41" t="s">
        <v>169</v>
      </c>
      <c r="J857" s="41" t="s">
        <v>169</v>
      </c>
      <c r="K857" s="40" t="s">
        <v>5</v>
      </c>
      <c r="L857" s="41" t="s">
        <v>2043</v>
      </c>
      <c r="M857" s="7" t="s">
        <v>2653</v>
      </c>
      <c r="N857" s="19"/>
      <c r="O857" s="19"/>
      <c r="P857" s="19"/>
      <c r="Q857" s="19"/>
      <c r="R857" s="19"/>
      <c r="S857" s="19"/>
      <c r="T857" s="19"/>
      <c r="U857" s="19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2"/>
      <c r="AJ857" s="42"/>
      <c r="AK857" s="42"/>
      <c r="AL857" s="42"/>
      <c r="AM857" s="42"/>
      <c r="AN857" s="42"/>
      <c r="AO857" s="42"/>
      <c r="AP857" s="42"/>
      <c r="AQ857" s="42"/>
      <c r="AR857" s="42" t="s">
        <v>160</v>
      </c>
      <c r="AS857" s="42" t="s">
        <v>160</v>
      </c>
      <c r="AT857" s="19"/>
      <c r="AU857" s="19"/>
      <c r="AV857" s="19"/>
      <c r="AW857" s="19"/>
      <c r="AX857" s="19"/>
      <c r="AY857" s="19"/>
      <c r="AZ857" s="42"/>
      <c r="BA857" s="42"/>
      <c r="BB857" s="42"/>
      <c r="BC857" s="42"/>
      <c r="BD857" s="42"/>
      <c r="BE857" s="42"/>
    </row>
    <row r="858" spans="1:57" x14ac:dyDescent="0.25">
      <c r="A858" s="94" t="s">
        <v>2773</v>
      </c>
      <c r="B858" s="109" t="s">
        <v>2930</v>
      </c>
      <c r="C858" s="115" t="s">
        <v>915</v>
      </c>
      <c r="D858" s="153" t="s">
        <v>2711</v>
      </c>
      <c r="E858" s="120">
        <f>58+55/60+2/3600</f>
        <v>58.917222222222222</v>
      </c>
      <c r="F858" s="120">
        <f>17+58/60+23/3600</f>
        <v>17.973055555555554</v>
      </c>
      <c r="G858" s="94"/>
      <c r="H858" s="94" t="s">
        <v>150</v>
      </c>
      <c r="I858" s="105" t="s">
        <v>169</v>
      </c>
      <c r="J858" s="105" t="s">
        <v>169</v>
      </c>
      <c r="K858" s="94" t="s">
        <v>5</v>
      </c>
      <c r="L858" s="105" t="s">
        <v>2043</v>
      </c>
      <c r="M858" s="105" t="s">
        <v>2653</v>
      </c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/>
      <c r="AD858" s="108"/>
      <c r="AE858" s="108"/>
      <c r="AF858" s="108"/>
      <c r="AG858" s="108"/>
      <c r="AH858" s="108"/>
      <c r="AI858" s="108"/>
      <c r="AJ858" s="108"/>
      <c r="AK858" s="108"/>
      <c r="AL858" s="108"/>
      <c r="AM858" s="108"/>
      <c r="AN858" s="108"/>
      <c r="AO858" s="108"/>
      <c r="AP858" s="108"/>
      <c r="AQ858" s="108"/>
      <c r="AR858" s="108" t="s">
        <v>160</v>
      </c>
      <c r="AS858" s="108" t="s">
        <v>160</v>
      </c>
      <c r="AT858" s="108"/>
      <c r="AU858" s="108"/>
      <c r="AV858" s="108"/>
      <c r="AW858" s="108"/>
      <c r="AX858" s="108"/>
      <c r="AY858" s="108"/>
      <c r="AZ858" s="108"/>
      <c r="BA858" s="108"/>
      <c r="BB858" s="108"/>
      <c r="BC858" s="108"/>
      <c r="BD858" s="108"/>
      <c r="BE858" s="108"/>
    </row>
    <row r="859" spans="1:57" x14ac:dyDescent="0.25">
      <c r="A859" s="32" t="s">
        <v>8</v>
      </c>
      <c r="B859" s="33" t="s">
        <v>875</v>
      </c>
      <c r="C859" s="58" t="s">
        <v>915</v>
      </c>
      <c r="D859" s="33" t="s">
        <v>2711</v>
      </c>
      <c r="E859" s="162">
        <f>58+55/60+2/3600</f>
        <v>58.917222222222222</v>
      </c>
      <c r="F859" s="162">
        <f>17+58/60+23/3600</f>
        <v>17.973055555555554</v>
      </c>
      <c r="G859" s="33"/>
      <c r="H859" s="35" t="s">
        <v>150</v>
      </c>
      <c r="I859" s="21" t="s">
        <v>169</v>
      </c>
      <c r="J859" s="32" t="s">
        <v>169</v>
      </c>
      <c r="K859" s="35" t="s">
        <v>5</v>
      </c>
      <c r="L859" s="35" t="s">
        <v>2043</v>
      </c>
      <c r="M859" s="35" t="s">
        <v>2653</v>
      </c>
      <c r="N859" s="37"/>
      <c r="O859" s="67"/>
      <c r="P859" s="37"/>
      <c r="Q859" s="37"/>
      <c r="R859" s="37"/>
      <c r="S859" s="37"/>
      <c r="T859" s="37"/>
      <c r="U859" s="37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  <c r="AL859" s="74"/>
      <c r="AM859" s="74"/>
      <c r="AN859" s="74"/>
      <c r="AO859" s="74"/>
      <c r="AP859" s="74"/>
      <c r="AQ859" s="74"/>
      <c r="AR859" s="74" t="s">
        <v>160</v>
      </c>
      <c r="AS859" s="74" t="s">
        <v>160</v>
      </c>
      <c r="AT859" s="37"/>
      <c r="AU859" s="37"/>
      <c r="AV859" s="37"/>
      <c r="AW859" s="37"/>
      <c r="AX859" s="37"/>
      <c r="AY859" s="37"/>
      <c r="AZ859" s="37"/>
      <c r="BA859" s="37"/>
      <c r="BB859" s="37"/>
      <c r="BC859" s="37"/>
      <c r="BD859" s="37"/>
      <c r="BE859" s="37"/>
    </row>
    <row r="860" spans="1:57" x14ac:dyDescent="0.25">
      <c r="A860" s="9" t="s">
        <v>706</v>
      </c>
      <c r="B860" s="38">
        <v>71</v>
      </c>
      <c r="C860" s="39" t="s">
        <v>915</v>
      </c>
      <c r="D860" s="62" t="s">
        <v>84</v>
      </c>
      <c r="E860" s="3">
        <f>58+55/60+2/3600</f>
        <v>58.917222222222222</v>
      </c>
      <c r="F860" s="3">
        <f>17+58/60+23/3600</f>
        <v>17.973055555555554</v>
      </c>
      <c r="G860" s="9"/>
      <c r="H860" s="9" t="s">
        <v>150</v>
      </c>
      <c r="I860" s="7" t="s">
        <v>169</v>
      </c>
      <c r="J860" s="7" t="s">
        <v>169</v>
      </c>
      <c r="K860" s="9" t="s">
        <v>5</v>
      </c>
      <c r="L860" s="7" t="s">
        <v>2043</v>
      </c>
      <c r="M860" s="7" t="s">
        <v>2653</v>
      </c>
      <c r="AR860" s="19" t="s">
        <v>160</v>
      </c>
      <c r="AS860" s="19" t="s">
        <v>160</v>
      </c>
      <c r="BB860" s="19"/>
      <c r="BC860" s="19"/>
      <c r="BD860" s="19"/>
      <c r="BE860" s="19"/>
    </row>
    <row r="861" spans="1:57" s="94" customFormat="1" x14ac:dyDescent="0.25">
      <c r="A861" s="9" t="s">
        <v>707</v>
      </c>
      <c r="B861" s="65" t="s">
        <v>2630</v>
      </c>
      <c r="C861" s="39" t="s">
        <v>2256</v>
      </c>
      <c r="D861" s="40" t="s">
        <v>2256</v>
      </c>
      <c r="E861" s="5" t="s">
        <v>16</v>
      </c>
      <c r="F861" s="5" t="s">
        <v>16</v>
      </c>
      <c r="G861" s="3"/>
      <c r="H861" s="9" t="s">
        <v>150</v>
      </c>
      <c r="I861" s="24" t="s">
        <v>708</v>
      </c>
      <c r="J861" s="24" t="s">
        <v>8</v>
      </c>
      <c r="K861" s="9" t="s">
        <v>124</v>
      </c>
      <c r="L861" s="24" t="s">
        <v>2700</v>
      </c>
      <c r="M861" s="7" t="s">
        <v>2653</v>
      </c>
      <c r="N861" s="19" t="s">
        <v>1114</v>
      </c>
      <c r="O861" s="19"/>
      <c r="P861" s="19" t="s">
        <v>160</v>
      </c>
      <c r="Q861" s="19"/>
      <c r="R861" s="19"/>
      <c r="S861" s="19" t="s">
        <v>160</v>
      </c>
      <c r="T861" s="19" t="s">
        <v>160</v>
      </c>
      <c r="U861" s="19"/>
      <c r="V861" s="19"/>
      <c r="W861" s="19"/>
      <c r="X861" s="19" t="s">
        <v>160</v>
      </c>
      <c r="Y861" s="19" t="s">
        <v>160</v>
      </c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 t="s">
        <v>160</v>
      </c>
      <c r="AS861" s="19" t="s">
        <v>160</v>
      </c>
      <c r="AT861" s="19" t="s">
        <v>160</v>
      </c>
      <c r="AU861" s="19" t="s">
        <v>160</v>
      </c>
      <c r="AV861" s="19"/>
      <c r="AW861" s="19"/>
      <c r="AX861" s="19" t="s">
        <v>160</v>
      </c>
      <c r="AY861" s="19" t="s">
        <v>160</v>
      </c>
      <c r="AZ861" s="19"/>
      <c r="BA861" s="19"/>
      <c r="BB861" s="19"/>
      <c r="BC861" s="19"/>
      <c r="BD861" s="19"/>
      <c r="BE861" s="19"/>
    </row>
    <row r="862" spans="1:57" x14ac:dyDescent="0.25">
      <c r="A862" s="114" t="s">
        <v>2773</v>
      </c>
      <c r="B862" s="99" t="s">
        <v>2958</v>
      </c>
      <c r="C862" s="99" t="s">
        <v>2256</v>
      </c>
      <c r="D862" s="153" t="s">
        <v>85</v>
      </c>
      <c r="E862" s="84" t="s">
        <v>16</v>
      </c>
      <c r="F862" s="84" t="s">
        <v>16</v>
      </c>
      <c r="G862" s="84"/>
      <c r="H862" s="94" t="s">
        <v>150</v>
      </c>
      <c r="I862" s="102" t="s">
        <v>708</v>
      </c>
      <c r="J862" s="102" t="s">
        <v>8</v>
      </c>
      <c r="K862" s="98" t="s">
        <v>124</v>
      </c>
      <c r="L862" s="102" t="s">
        <v>2700</v>
      </c>
      <c r="M862" s="105" t="s">
        <v>2653</v>
      </c>
      <c r="N862" s="108" t="s">
        <v>1114</v>
      </c>
      <c r="O862" s="108" t="s">
        <v>160</v>
      </c>
      <c r="P862" s="108" t="s">
        <v>160</v>
      </c>
      <c r="Q862" s="108"/>
      <c r="R862" s="108"/>
      <c r="S862" s="108" t="s">
        <v>160</v>
      </c>
      <c r="T862" s="108" t="s">
        <v>160</v>
      </c>
      <c r="U862" s="108"/>
      <c r="V862" s="108"/>
      <c r="W862" s="108"/>
      <c r="X862" s="108" t="s">
        <v>160</v>
      </c>
      <c r="Y862" s="108" t="s">
        <v>160</v>
      </c>
      <c r="Z862" s="108"/>
      <c r="AA862" s="108"/>
      <c r="AB862" s="108"/>
      <c r="AC862" s="108"/>
      <c r="AD862" s="108"/>
      <c r="AE862" s="108"/>
      <c r="AF862" s="108"/>
      <c r="AG862" s="108"/>
      <c r="AH862" s="108"/>
      <c r="AI862" s="108"/>
      <c r="AJ862" s="108"/>
      <c r="AK862" s="108"/>
      <c r="AL862" s="108"/>
      <c r="AM862" s="108"/>
      <c r="AN862" s="108"/>
      <c r="AO862" s="108"/>
      <c r="AP862" s="108"/>
      <c r="AQ862" s="108"/>
      <c r="AR862" s="108" t="s">
        <v>160</v>
      </c>
      <c r="AS862" s="108" t="s">
        <v>160</v>
      </c>
      <c r="AT862" s="108" t="s">
        <v>160</v>
      </c>
      <c r="AU862" s="108" t="s">
        <v>160</v>
      </c>
      <c r="AV862" s="108"/>
      <c r="AW862" s="108"/>
      <c r="AX862" s="108" t="s">
        <v>160</v>
      </c>
      <c r="AY862" s="108" t="s">
        <v>160</v>
      </c>
      <c r="AZ862" s="108"/>
      <c r="BA862" s="108"/>
      <c r="BB862" s="108"/>
      <c r="BC862" s="108"/>
      <c r="BD862" s="108"/>
      <c r="BE862" s="108"/>
    </row>
    <row r="863" spans="1:57" x14ac:dyDescent="0.25">
      <c r="A863" s="6" t="s">
        <v>8</v>
      </c>
      <c r="B863" s="26">
        <v>38006</v>
      </c>
      <c r="C863" s="26" t="s">
        <v>2256</v>
      </c>
      <c r="D863" s="31" t="s">
        <v>712</v>
      </c>
      <c r="E863" s="25" t="s">
        <v>16</v>
      </c>
      <c r="F863" s="25" t="s">
        <v>16</v>
      </c>
      <c r="G863" s="25"/>
      <c r="H863" s="9" t="s">
        <v>150</v>
      </c>
      <c r="I863" s="24" t="s">
        <v>708</v>
      </c>
      <c r="J863" s="24" t="s">
        <v>8</v>
      </c>
      <c r="K863" s="10" t="s">
        <v>124</v>
      </c>
      <c r="L863" s="24" t="s">
        <v>2700</v>
      </c>
      <c r="M863" s="7" t="s">
        <v>2653</v>
      </c>
      <c r="N863" s="19" t="s">
        <v>1114</v>
      </c>
      <c r="O863" s="19" t="s">
        <v>160</v>
      </c>
      <c r="P863" s="19" t="s">
        <v>160</v>
      </c>
      <c r="S863" s="19" t="s">
        <v>160</v>
      </c>
      <c r="T863" s="19" t="s">
        <v>160</v>
      </c>
      <c r="X863" s="19" t="s">
        <v>160</v>
      </c>
      <c r="Y863" s="19" t="s">
        <v>160</v>
      </c>
      <c r="AR863" s="19" t="s">
        <v>160</v>
      </c>
      <c r="AS863" s="19" t="s">
        <v>160</v>
      </c>
      <c r="AT863" s="19" t="s">
        <v>160</v>
      </c>
      <c r="AU863" s="19" t="s">
        <v>160</v>
      </c>
      <c r="AX863" s="19" t="s">
        <v>160</v>
      </c>
      <c r="AY863" s="19" t="s">
        <v>160</v>
      </c>
      <c r="BB863" s="19"/>
      <c r="BC863" s="19"/>
      <c r="BD863" s="19"/>
      <c r="BE863" s="19"/>
    </row>
    <row r="864" spans="1:57" x14ac:dyDescent="0.25">
      <c r="A864" s="9" t="s">
        <v>706</v>
      </c>
      <c r="B864" s="38">
        <v>23</v>
      </c>
      <c r="C864" s="38" t="s">
        <v>2256</v>
      </c>
      <c r="D864" s="62" t="s">
        <v>85</v>
      </c>
      <c r="E864" s="3" t="s">
        <v>16</v>
      </c>
      <c r="F864" s="3" t="s">
        <v>16</v>
      </c>
      <c r="H864" s="9" t="s">
        <v>150</v>
      </c>
      <c r="I864" s="24" t="s">
        <v>708</v>
      </c>
      <c r="J864" s="24" t="s">
        <v>8</v>
      </c>
      <c r="K864" s="9" t="s">
        <v>124</v>
      </c>
      <c r="L864" s="7" t="s">
        <v>2700</v>
      </c>
      <c r="M864" s="7" t="s">
        <v>2653</v>
      </c>
      <c r="N864" s="19" t="s">
        <v>1114</v>
      </c>
      <c r="O864" s="19" t="s">
        <v>160</v>
      </c>
      <c r="P864" s="19" t="s">
        <v>160</v>
      </c>
      <c r="S864" s="19" t="s">
        <v>160</v>
      </c>
      <c r="T864" s="19" t="s">
        <v>160</v>
      </c>
      <c r="X864" s="19" t="s">
        <v>160</v>
      </c>
      <c r="Y864" s="19" t="s">
        <v>160</v>
      </c>
      <c r="AR864" s="19" t="s">
        <v>160</v>
      </c>
      <c r="AS864" s="19" t="s">
        <v>160</v>
      </c>
      <c r="AT864" s="19" t="s">
        <v>160</v>
      </c>
      <c r="AU864" s="19" t="s">
        <v>160</v>
      </c>
      <c r="AX864" s="19" t="s">
        <v>160</v>
      </c>
      <c r="AY864" s="19" t="s">
        <v>160</v>
      </c>
      <c r="BB864" s="19"/>
      <c r="BC864" s="19"/>
      <c r="BD864" s="19"/>
      <c r="BE864" s="19"/>
    </row>
    <row r="865" spans="1:57" x14ac:dyDescent="0.25">
      <c r="A865" s="9" t="s">
        <v>8</v>
      </c>
      <c r="B865" s="26">
        <v>33023</v>
      </c>
      <c r="C865" s="24" t="s">
        <v>997</v>
      </c>
      <c r="D865" t="s">
        <v>998</v>
      </c>
      <c r="E865" s="3">
        <v>56.930599999999998</v>
      </c>
      <c r="F865" s="3">
        <v>17.057400000000001</v>
      </c>
      <c r="G865" s="55"/>
      <c r="H865" s="9" t="s">
        <v>150</v>
      </c>
      <c r="I865" s="10" t="s">
        <v>1025</v>
      </c>
      <c r="J865" s="21" t="s">
        <v>8</v>
      </c>
      <c r="K865" s="9" t="s">
        <v>951</v>
      </c>
      <c r="L865" s="7" t="s">
        <v>2683</v>
      </c>
      <c r="M865" s="7" t="s">
        <v>717</v>
      </c>
      <c r="N865" s="42" t="s">
        <v>1126</v>
      </c>
      <c r="O865" s="42"/>
      <c r="P865" s="42" t="s">
        <v>160</v>
      </c>
      <c r="S865" s="19" t="s">
        <v>160</v>
      </c>
      <c r="T865" s="19" t="s">
        <v>160</v>
      </c>
      <c r="U865" s="42"/>
      <c r="X865" s="19" t="s">
        <v>160</v>
      </c>
      <c r="Y865" s="19" t="s">
        <v>160</v>
      </c>
      <c r="Z865" s="19" t="s">
        <v>160</v>
      </c>
      <c r="AA865" s="19" t="s">
        <v>160</v>
      </c>
      <c r="AB865" s="19" t="s">
        <v>160</v>
      </c>
      <c r="AD865" s="19" t="s">
        <v>160</v>
      </c>
      <c r="AJ865" s="19" t="s">
        <v>160</v>
      </c>
      <c r="AL865" s="19" t="s">
        <v>160</v>
      </c>
      <c r="AM865" s="19" t="s">
        <v>160</v>
      </c>
      <c r="AT865" s="19" t="s">
        <v>160</v>
      </c>
      <c r="AU865" s="19" t="s">
        <v>160</v>
      </c>
      <c r="AV865" s="19" t="s">
        <v>160</v>
      </c>
      <c r="AW865" s="19" t="s">
        <v>160</v>
      </c>
      <c r="BB865" s="19"/>
      <c r="BC865" s="19"/>
      <c r="BD865" s="19"/>
      <c r="BE865" s="19"/>
    </row>
    <row r="866" spans="1:57" x14ac:dyDescent="0.25">
      <c r="A866" s="6" t="s">
        <v>8</v>
      </c>
      <c r="B866" s="9">
        <v>66400</v>
      </c>
      <c r="C866" s="9" t="s">
        <v>1470</v>
      </c>
      <c r="D866" s="9" t="s">
        <v>1471</v>
      </c>
      <c r="E866" s="3">
        <v>56.666899999999998</v>
      </c>
      <c r="F866" s="3">
        <v>16.460899999999999</v>
      </c>
      <c r="G866" s="9">
        <v>0</v>
      </c>
      <c r="H866" s="9" t="s">
        <v>150</v>
      </c>
      <c r="I866" s="6" t="s">
        <v>8</v>
      </c>
      <c r="J866" s="21" t="s">
        <v>8</v>
      </c>
      <c r="K866" s="3" t="s">
        <v>5</v>
      </c>
      <c r="L866" s="5" t="s">
        <v>2693</v>
      </c>
      <c r="M866" s="7" t="s">
        <v>717</v>
      </c>
      <c r="N866" s="19" t="s">
        <v>2514</v>
      </c>
      <c r="O866" s="22"/>
      <c r="P866" s="19" t="s">
        <v>160</v>
      </c>
      <c r="AR866" s="19" t="s">
        <v>160</v>
      </c>
      <c r="AT866" s="19" t="s">
        <v>160</v>
      </c>
      <c r="AX866" s="19" t="s">
        <v>160</v>
      </c>
      <c r="BB866" s="19"/>
      <c r="BC866" s="19"/>
      <c r="BD866" s="19"/>
      <c r="BE866" s="19"/>
    </row>
    <row r="867" spans="1:57" x14ac:dyDescent="0.25">
      <c r="A867" s="9" t="s">
        <v>707</v>
      </c>
      <c r="B867" s="137" t="s">
        <v>697</v>
      </c>
      <c r="C867" s="23" t="s">
        <v>884</v>
      </c>
      <c r="D867" s="40" t="s">
        <v>698</v>
      </c>
      <c r="E867" s="46" t="s">
        <v>700</v>
      </c>
      <c r="F867" s="46" t="s">
        <v>699</v>
      </c>
      <c r="G867" s="40"/>
      <c r="H867" s="9" t="s">
        <v>150</v>
      </c>
      <c r="I867" s="41" t="s">
        <v>8</v>
      </c>
      <c r="J867" s="41" t="s">
        <v>8</v>
      </c>
      <c r="K867" s="40" t="s">
        <v>6</v>
      </c>
      <c r="L867" s="41" t="s">
        <v>2030</v>
      </c>
      <c r="M867" s="7" t="s">
        <v>2653</v>
      </c>
      <c r="N867" s="19" t="s">
        <v>1134</v>
      </c>
      <c r="O867" s="22"/>
      <c r="P867" s="19" t="s">
        <v>160</v>
      </c>
      <c r="Q867" s="44" t="s">
        <v>1159</v>
      </c>
      <c r="R867" s="44" t="s">
        <v>1685</v>
      </c>
      <c r="S867" s="19" t="s">
        <v>160</v>
      </c>
      <c r="T867" s="19" t="s">
        <v>160</v>
      </c>
      <c r="U867" s="19">
        <v>1</v>
      </c>
      <c r="V867" s="42" t="s">
        <v>160</v>
      </c>
      <c r="W867" s="42" t="s">
        <v>160</v>
      </c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2"/>
      <c r="AJ867" s="42"/>
      <c r="AK867" s="42"/>
      <c r="AL867" s="42"/>
      <c r="AM867" s="42"/>
      <c r="AN867" s="42"/>
      <c r="AO867" s="42"/>
      <c r="AP867" s="42"/>
      <c r="AQ867" s="42"/>
      <c r="AR867" s="42"/>
      <c r="AS867" s="42"/>
      <c r="AZ867" s="42"/>
      <c r="BA867" s="42"/>
      <c r="BB867" s="42"/>
      <c r="BC867" s="42"/>
      <c r="BD867" s="42"/>
      <c r="BE867" s="42"/>
    </row>
    <row r="868" spans="1:57" x14ac:dyDescent="0.25">
      <c r="A868" s="53" t="s">
        <v>2763</v>
      </c>
      <c r="B868" s="143">
        <v>2083</v>
      </c>
      <c r="C868" s="85" t="s">
        <v>884</v>
      </c>
      <c r="D868" s="85" t="s">
        <v>1736</v>
      </c>
      <c r="E868" s="66">
        <f>57+21/60+58.51/3600</f>
        <v>57.366252777777781</v>
      </c>
      <c r="F868" s="66">
        <f>17+5/60+49.71/3600</f>
        <v>17.097141666666666</v>
      </c>
      <c r="G868" s="85">
        <v>2.02</v>
      </c>
      <c r="H868" s="9" t="s">
        <v>150</v>
      </c>
      <c r="I868" s="14" t="s">
        <v>8</v>
      </c>
      <c r="J868" s="85" t="s">
        <v>8</v>
      </c>
      <c r="K868" s="7" t="s">
        <v>6</v>
      </c>
      <c r="L868" s="7" t="s">
        <v>2030</v>
      </c>
      <c r="M868" s="7" t="s">
        <v>2653</v>
      </c>
      <c r="N868" s="19" t="s">
        <v>1134</v>
      </c>
      <c r="O868" s="22"/>
      <c r="P868" s="19" t="s">
        <v>160</v>
      </c>
      <c r="Q868" s="44" t="s">
        <v>1159</v>
      </c>
      <c r="R868" s="44" t="s">
        <v>1685</v>
      </c>
      <c r="S868" s="19" t="s">
        <v>160</v>
      </c>
      <c r="T868" s="19" t="s">
        <v>160</v>
      </c>
      <c r="U868" s="42">
        <v>1</v>
      </c>
      <c r="V868" s="20" t="s">
        <v>160</v>
      </c>
      <c r="W868" s="20" t="s">
        <v>160</v>
      </c>
      <c r="X868" s="85"/>
      <c r="Y868" s="85"/>
      <c r="Z868" s="85"/>
      <c r="AA868" s="85"/>
      <c r="AB868" s="85"/>
      <c r="AC868" s="85"/>
      <c r="AD868" s="85"/>
      <c r="AE868" s="85"/>
      <c r="AF868" s="85"/>
      <c r="AG868" s="85"/>
      <c r="AH868" s="85"/>
      <c r="AI868" s="85"/>
      <c r="AJ868" s="85"/>
      <c r="AK868" s="85"/>
      <c r="AL868" s="85"/>
      <c r="AM868" s="85"/>
      <c r="AN868" s="85"/>
      <c r="AO868" s="85"/>
      <c r="AP868" s="85"/>
      <c r="AQ868" s="85"/>
      <c r="AR868" s="85"/>
      <c r="AS868" s="85"/>
      <c r="AT868" s="85"/>
      <c r="AU868" s="85"/>
      <c r="AV868" s="85"/>
      <c r="AW868" s="85"/>
      <c r="AX868" s="85"/>
      <c r="AY868" s="85"/>
      <c r="AZ868" s="85"/>
      <c r="BA868" s="85"/>
      <c r="BB868" s="85"/>
      <c r="BC868" s="85"/>
      <c r="BD868" s="85"/>
      <c r="BE868" s="85"/>
    </row>
    <row r="869" spans="1:57" s="94" customFormat="1" x14ac:dyDescent="0.25">
      <c r="A869" s="105" t="s">
        <v>2773</v>
      </c>
      <c r="B869" s="139" t="s">
        <v>2808</v>
      </c>
      <c r="C869" s="110" t="s">
        <v>884</v>
      </c>
      <c r="D869" s="163" t="s">
        <v>1736</v>
      </c>
      <c r="E869" s="82">
        <f>57+21/60+58.6/3600</f>
        <v>57.366277777777782</v>
      </c>
      <c r="F869" s="82">
        <f>17+5/60+50.02/3600</f>
        <v>17.097227777777778</v>
      </c>
      <c r="G869" s="178">
        <v>2.02</v>
      </c>
      <c r="H869" s="105" t="s">
        <v>150</v>
      </c>
      <c r="I869" s="105" t="s">
        <v>8</v>
      </c>
      <c r="J869" s="105" t="s">
        <v>8</v>
      </c>
      <c r="K869" s="105" t="s">
        <v>6</v>
      </c>
      <c r="L869" s="105" t="s">
        <v>2030</v>
      </c>
      <c r="M869" s="105" t="s">
        <v>2653</v>
      </c>
      <c r="N869" s="108" t="s">
        <v>1134</v>
      </c>
      <c r="O869" s="104"/>
      <c r="P869" s="108" t="s">
        <v>160</v>
      </c>
      <c r="Q869" s="107" t="s">
        <v>1159</v>
      </c>
      <c r="R869" s="107" t="s">
        <v>1685</v>
      </c>
      <c r="S869" s="108" t="s">
        <v>160</v>
      </c>
      <c r="T869" s="108" t="s">
        <v>160</v>
      </c>
      <c r="U869" s="106">
        <v>1</v>
      </c>
      <c r="V869" s="103" t="s">
        <v>160</v>
      </c>
      <c r="W869" s="103" t="s">
        <v>160</v>
      </c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  <c r="BD869" s="103"/>
      <c r="BE869" s="103"/>
    </row>
    <row r="870" spans="1:57" x14ac:dyDescent="0.25">
      <c r="A870" s="7" t="s">
        <v>8</v>
      </c>
      <c r="B870" s="142" t="s">
        <v>2929</v>
      </c>
      <c r="C870" s="23" t="s">
        <v>884</v>
      </c>
      <c r="D870" t="s">
        <v>759</v>
      </c>
      <c r="E870" s="193">
        <v>57.366199999999999</v>
      </c>
      <c r="F870" s="193">
        <v>17.097100000000001</v>
      </c>
      <c r="G870" s="43"/>
      <c r="H870" s="7" t="s">
        <v>150</v>
      </c>
      <c r="I870" s="7" t="s">
        <v>8</v>
      </c>
      <c r="J870" s="7" t="s">
        <v>8</v>
      </c>
      <c r="K870" s="7" t="s">
        <v>6</v>
      </c>
      <c r="L870" s="7" t="s">
        <v>2030</v>
      </c>
      <c r="M870" s="7" t="s">
        <v>2653</v>
      </c>
      <c r="N870" s="19" t="s">
        <v>1134</v>
      </c>
      <c r="O870" s="22"/>
      <c r="P870" s="19" t="s">
        <v>160</v>
      </c>
      <c r="Q870" s="44" t="s">
        <v>1159</v>
      </c>
      <c r="R870" s="44" t="s">
        <v>1685</v>
      </c>
      <c r="S870" s="19" t="s">
        <v>160</v>
      </c>
      <c r="T870" s="19" t="s">
        <v>160</v>
      </c>
      <c r="U870" s="42">
        <v>1</v>
      </c>
      <c r="V870" s="20" t="s">
        <v>160</v>
      </c>
      <c r="W870" s="20" t="s">
        <v>160</v>
      </c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  <c r="AQ870" s="20"/>
      <c r="AR870" s="20"/>
      <c r="AS870" s="20"/>
      <c r="AT870" s="20"/>
      <c r="AU870" s="20"/>
      <c r="AV870" s="20"/>
      <c r="AW870" s="20"/>
      <c r="AX870" s="20"/>
      <c r="AY870" s="20"/>
      <c r="AZ870" s="20"/>
      <c r="BA870" s="20"/>
      <c r="BB870" s="20"/>
      <c r="BC870" s="20"/>
      <c r="BD870" s="20"/>
      <c r="BE870" s="20"/>
    </row>
    <row r="871" spans="1:57" x14ac:dyDescent="0.25">
      <c r="A871" s="9" t="s">
        <v>706</v>
      </c>
      <c r="B871" s="140">
        <v>148</v>
      </c>
      <c r="C871" s="23" t="s">
        <v>884</v>
      </c>
      <c r="D871" s="88" t="s">
        <v>144</v>
      </c>
      <c r="E871" s="35">
        <f>57+22/60+1/3600</f>
        <v>57.366944444444442</v>
      </c>
      <c r="F871" s="35">
        <f>17+5/60+43/3600</f>
        <v>17.095277777777778</v>
      </c>
      <c r="G871" s="43"/>
      <c r="H871" s="9" t="s">
        <v>150</v>
      </c>
      <c r="I871" s="7" t="s">
        <v>8</v>
      </c>
      <c r="J871" s="7" t="s">
        <v>8</v>
      </c>
      <c r="K871" s="9" t="s">
        <v>40</v>
      </c>
      <c r="L871" s="7" t="s">
        <v>2054</v>
      </c>
      <c r="M871" s="7" t="s">
        <v>2653</v>
      </c>
      <c r="N871" s="19" t="s">
        <v>1134</v>
      </c>
      <c r="O871" s="22"/>
      <c r="P871" s="19" t="s">
        <v>160</v>
      </c>
      <c r="Q871" s="44" t="s">
        <v>1159</v>
      </c>
      <c r="R871" s="44" t="s">
        <v>1685</v>
      </c>
      <c r="S871" s="19" t="s">
        <v>160</v>
      </c>
      <c r="T871" s="19" t="s">
        <v>160</v>
      </c>
      <c r="U871" s="19">
        <v>1</v>
      </c>
      <c r="V871" s="19" t="s">
        <v>160</v>
      </c>
      <c r="W871" s="19" t="s">
        <v>160</v>
      </c>
      <c r="AR871" s="19" t="s">
        <v>160</v>
      </c>
      <c r="AS871" s="19" t="s">
        <v>160</v>
      </c>
      <c r="BB871" s="19"/>
      <c r="BC871" s="19"/>
      <c r="BD871" s="19"/>
      <c r="BE871" s="19"/>
    </row>
    <row r="872" spans="1:57" x14ac:dyDescent="0.25">
      <c r="A872" s="9" t="s">
        <v>8</v>
      </c>
      <c r="B872" s="27">
        <v>37209</v>
      </c>
      <c r="C872" s="28" t="s">
        <v>1901</v>
      </c>
      <c r="D872" s="28" t="s">
        <v>1736</v>
      </c>
      <c r="E872" s="25">
        <v>57.366700000000002</v>
      </c>
      <c r="F872" s="25">
        <v>17.083300000000001</v>
      </c>
      <c r="H872" s="7" t="s">
        <v>150</v>
      </c>
      <c r="I872" s="7" t="s">
        <v>8</v>
      </c>
      <c r="J872" s="7" t="s">
        <v>8</v>
      </c>
      <c r="K872" s="6" t="s">
        <v>2455</v>
      </c>
      <c r="L872" s="7" t="s">
        <v>2027</v>
      </c>
      <c r="M872" s="28" t="s">
        <v>717</v>
      </c>
      <c r="N872" s="19" t="s">
        <v>1835</v>
      </c>
      <c r="O872" s="22"/>
      <c r="X872" s="19" t="s">
        <v>160</v>
      </c>
      <c r="BA872" s="7"/>
      <c r="BB872" s="7"/>
      <c r="BC872" s="7"/>
      <c r="BD872" s="7"/>
      <c r="BE872" s="7"/>
    </row>
    <row r="873" spans="1:57" x14ac:dyDescent="0.25">
      <c r="A873" s="6" t="s">
        <v>8</v>
      </c>
      <c r="B873" s="9">
        <v>77220</v>
      </c>
      <c r="C873" s="9" t="s">
        <v>2257</v>
      </c>
      <c r="D873" s="9" t="s">
        <v>759</v>
      </c>
      <c r="E873" s="3">
        <v>57.366500000000002</v>
      </c>
      <c r="F873" s="3">
        <v>17.0976</v>
      </c>
      <c r="G873" s="9">
        <v>2.0390000000000001</v>
      </c>
      <c r="H873" s="9" t="s">
        <v>150</v>
      </c>
      <c r="I873" s="21" t="s">
        <v>8</v>
      </c>
      <c r="J873" s="21" t="s">
        <v>8</v>
      </c>
      <c r="K873" s="3" t="s">
        <v>5</v>
      </c>
      <c r="L873" s="5" t="s">
        <v>2680</v>
      </c>
      <c r="M873" s="7" t="s">
        <v>2653</v>
      </c>
      <c r="N873" s="19" t="s">
        <v>2515</v>
      </c>
      <c r="O873" s="22"/>
      <c r="P873" s="19" t="s">
        <v>160</v>
      </c>
      <c r="AR873" s="19" t="s">
        <v>160</v>
      </c>
      <c r="AS873" s="19" t="s">
        <v>160</v>
      </c>
      <c r="AT873" s="19" t="s">
        <v>160</v>
      </c>
      <c r="AU873" s="19" t="s">
        <v>160</v>
      </c>
      <c r="AV873" s="19" t="s">
        <v>160</v>
      </c>
      <c r="AW873" s="19" t="s">
        <v>160</v>
      </c>
      <c r="AX873" s="19" t="s">
        <v>160</v>
      </c>
      <c r="AY873" s="19" t="s">
        <v>160</v>
      </c>
      <c r="AZ873" s="19" t="s">
        <v>160</v>
      </c>
      <c r="BA873" s="19" t="s">
        <v>160</v>
      </c>
      <c r="BB873" s="19"/>
      <c r="BC873" s="19"/>
      <c r="BD873" s="19"/>
      <c r="BE873" s="19"/>
    </row>
    <row r="874" spans="1:57" x14ac:dyDescent="0.25">
      <c r="A874" s="6" t="s">
        <v>8</v>
      </c>
      <c r="B874" s="9">
        <v>77210</v>
      </c>
      <c r="C874" s="9" t="s">
        <v>1472</v>
      </c>
      <c r="D874" s="9" t="s">
        <v>1473</v>
      </c>
      <c r="E874" s="3">
        <v>57.367100000000001</v>
      </c>
      <c r="F874" s="3">
        <v>17.095400000000001</v>
      </c>
      <c r="G874" s="9">
        <v>2.762</v>
      </c>
      <c r="H874" s="9" t="s">
        <v>150</v>
      </c>
      <c r="I874" s="21" t="s">
        <v>8</v>
      </c>
      <c r="J874" s="21" t="s">
        <v>8</v>
      </c>
      <c r="K874" s="3" t="s">
        <v>5</v>
      </c>
      <c r="L874" s="5" t="s">
        <v>2680</v>
      </c>
      <c r="M874" s="7" t="s">
        <v>2653</v>
      </c>
      <c r="N874" s="19" t="s">
        <v>2303</v>
      </c>
      <c r="O874" s="22"/>
      <c r="P874" s="19" t="s">
        <v>160</v>
      </c>
      <c r="AR874" s="19" t="s">
        <v>160</v>
      </c>
      <c r="AS874" s="19" t="s">
        <v>160</v>
      </c>
      <c r="AT874" s="19" t="s">
        <v>160</v>
      </c>
      <c r="AU874" s="19" t="s">
        <v>160</v>
      </c>
      <c r="AV874" s="19" t="s">
        <v>160</v>
      </c>
      <c r="AW874" s="19" t="s">
        <v>160</v>
      </c>
      <c r="AX874" s="19" t="s">
        <v>160</v>
      </c>
      <c r="AY874" s="19" t="s">
        <v>160</v>
      </c>
      <c r="AZ874" s="19" t="s">
        <v>160</v>
      </c>
      <c r="BA874" s="19" t="s">
        <v>160</v>
      </c>
      <c r="BB874" s="19"/>
      <c r="BC874" s="19"/>
      <c r="BD874" s="19"/>
      <c r="BE874" s="19"/>
    </row>
    <row r="875" spans="1:57" x14ac:dyDescent="0.25">
      <c r="A875" s="9" t="s">
        <v>8</v>
      </c>
      <c r="B875" s="26">
        <v>33043</v>
      </c>
      <c r="C875" s="24" t="s">
        <v>1013</v>
      </c>
      <c r="D875" s="24" t="s">
        <v>1014</v>
      </c>
      <c r="E875" s="25">
        <f>56+10/60+4.8/3600</f>
        <v>56.167999999999999</v>
      </c>
      <c r="F875" s="75">
        <f>16+38/60+3.96/3600</f>
        <v>16.634433333333334</v>
      </c>
      <c r="G875" s="55"/>
      <c r="H875" s="9" t="s">
        <v>150</v>
      </c>
      <c r="I875" s="24" t="s">
        <v>8</v>
      </c>
      <c r="J875" s="24" t="s">
        <v>8</v>
      </c>
      <c r="K875" s="9" t="s">
        <v>951</v>
      </c>
      <c r="L875" s="7" t="s">
        <v>2033</v>
      </c>
      <c r="M875" s="7" t="s">
        <v>2653</v>
      </c>
      <c r="N875" s="42" t="s">
        <v>1118</v>
      </c>
      <c r="O875" s="22"/>
      <c r="P875" s="42"/>
      <c r="S875" s="19" t="s">
        <v>160</v>
      </c>
      <c r="T875" s="19" t="s">
        <v>160</v>
      </c>
      <c r="U875" s="42"/>
      <c r="X875" s="19" t="s">
        <v>160</v>
      </c>
      <c r="Z875" s="19" t="s">
        <v>160</v>
      </c>
      <c r="AB875" s="19" t="s">
        <v>160</v>
      </c>
      <c r="AC875" s="19" t="s">
        <v>160</v>
      </c>
      <c r="BB875" s="19"/>
      <c r="BC875" s="19"/>
      <c r="BD875" s="19"/>
      <c r="BE875" s="19"/>
    </row>
    <row r="876" spans="1:57" x14ac:dyDescent="0.25">
      <c r="A876" s="9" t="s">
        <v>8</v>
      </c>
      <c r="B876" s="26">
        <v>35008</v>
      </c>
      <c r="C876" s="24" t="s">
        <v>1039</v>
      </c>
      <c r="D876" t="s">
        <v>1040</v>
      </c>
      <c r="E876" s="25">
        <f>56+7/60</f>
        <v>56.116666666666667</v>
      </c>
      <c r="F876" s="25">
        <f>16+34/60</f>
        <v>16.566666666666666</v>
      </c>
      <c r="G876" s="9"/>
      <c r="H876" s="9" t="s">
        <v>150</v>
      </c>
      <c r="I876" s="9" t="s">
        <v>8</v>
      </c>
      <c r="J876" s="7" t="s">
        <v>8</v>
      </c>
      <c r="K876" s="10" t="s">
        <v>953</v>
      </c>
      <c r="L876" s="7" t="s">
        <v>2685</v>
      </c>
      <c r="M876" s="7" t="s">
        <v>717</v>
      </c>
      <c r="N876" s="42" t="s">
        <v>1343</v>
      </c>
      <c r="O876" s="22"/>
      <c r="P876" s="42"/>
      <c r="S876" s="19" t="s">
        <v>160</v>
      </c>
      <c r="T876" s="19" t="s">
        <v>160</v>
      </c>
      <c r="U876" s="42"/>
      <c r="X876" s="19" t="s">
        <v>160</v>
      </c>
      <c r="Z876" s="19" t="s">
        <v>160</v>
      </c>
      <c r="AL876" s="19" t="s">
        <v>160</v>
      </c>
      <c r="AR876" s="19" t="s">
        <v>160</v>
      </c>
      <c r="AT876" s="19" t="s">
        <v>160</v>
      </c>
      <c r="BB876" s="19"/>
      <c r="BC876" s="19"/>
      <c r="BD876" s="19"/>
      <c r="BE876" s="19"/>
    </row>
    <row r="877" spans="1:57" x14ac:dyDescent="0.25">
      <c r="A877" s="9" t="s">
        <v>8</v>
      </c>
      <c r="B877" s="26">
        <v>35063</v>
      </c>
      <c r="C877" s="24" t="s">
        <v>1079</v>
      </c>
      <c r="D877" s="24" t="s">
        <v>1689</v>
      </c>
      <c r="E877" s="25">
        <f>56+4/60</f>
        <v>56.06666666666667</v>
      </c>
      <c r="F877" s="25">
        <f>16+41/60</f>
        <v>16.683333333333334</v>
      </c>
      <c r="G877" s="9"/>
      <c r="H877" s="9" t="s">
        <v>150</v>
      </c>
      <c r="I877" s="9" t="s">
        <v>8</v>
      </c>
      <c r="J877" s="7" t="s">
        <v>8</v>
      </c>
      <c r="K877" s="10" t="s">
        <v>951</v>
      </c>
      <c r="L877" s="7" t="s">
        <v>2044</v>
      </c>
      <c r="M877" s="7" t="s">
        <v>717</v>
      </c>
      <c r="N877" s="42" t="s">
        <v>1321</v>
      </c>
      <c r="O877" s="22"/>
      <c r="P877" s="42" t="s">
        <v>160</v>
      </c>
      <c r="S877" s="42" t="s">
        <v>160</v>
      </c>
      <c r="T877" s="19" t="s">
        <v>160</v>
      </c>
      <c r="U877" s="42"/>
      <c r="AN877" s="19" t="s">
        <v>160</v>
      </c>
      <c r="BB877" s="19"/>
      <c r="BC877" s="19"/>
      <c r="BD877" s="19"/>
      <c r="BE877" s="19"/>
    </row>
    <row r="878" spans="1:57" x14ac:dyDescent="0.25">
      <c r="A878" s="9" t="s">
        <v>8</v>
      </c>
      <c r="B878" s="27">
        <v>37214</v>
      </c>
      <c r="C878" s="28" t="s">
        <v>1903</v>
      </c>
      <c r="D878" s="28" t="s">
        <v>1737</v>
      </c>
      <c r="E878" s="25">
        <v>56.066699999999997</v>
      </c>
      <c r="F878" s="25">
        <v>16.683299999999999</v>
      </c>
      <c r="H878" s="9" t="s">
        <v>150</v>
      </c>
      <c r="I878" s="9" t="s">
        <v>8</v>
      </c>
      <c r="J878" s="7" t="s">
        <v>8</v>
      </c>
      <c r="K878" s="6" t="s">
        <v>2455</v>
      </c>
      <c r="L878" s="7" t="s">
        <v>2027</v>
      </c>
      <c r="M878" s="28" t="s">
        <v>717</v>
      </c>
      <c r="N878" s="19" t="s">
        <v>1840</v>
      </c>
      <c r="O878" s="22"/>
      <c r="X878" s="19" t="s">
        <v>160</v>
      </c>
      <c r="BA878" s="7"/>
      <c r="BB878" s="7"/>
      <c r="BC878" s="7"/>
      <c r="BD878" s="7"/>
      <c r="BE878" s="7"/>
    </row>
    <row r="879" spans="1:57" x14ac:dyDescent="0.25">
      <c r="A879" s="6" t="s">
        <v>8</v>
      </c>
      <c r="B879" s="9">
        <v>66040</v>
      </c>
      <c r="C879" s="9" t="s">
        <v>1474</v>
      </c>
      <c r="D879" s="9" t="s">
        <v>1475</v>
      </c>
      <c r="E879" s="3">
        <v>56.07</v>
      </c>
      <c r="F879" s="3">
        <v>16.68</v>
      </c>
      <c r="G879" s="9">
        <v>1</v>
      </c>
      <c r="H879" s="9" t="s">
        <v>150</v>
      </c>
      <c r="I879" s="6" t="s">
        <v>8</v>
      </c>
      <c r="J879" s="21" t="s">
        <v>8</v>
      </c>
      <c r="K879" s="3" t="s">
        <v>5</v>
      </c>
      <c r="L879" s="5" t="s">
        <v>2680</v>
      </c>
      <c r="M879" s="7" t="s">
        <v>717</v>
      </c>
      <c r="N879" s="19" t="s">
        <v>2516</v>
      </c>
      <c r="O879" s="22"/>
      <c r="P879" s="19" t="s">
        <v>160</v>
      </c>
      <c r="AR879" s="19" t="s">
        <v>160</v>
      </c>
      <c r="AT879" s="19" t="s">
        <v>160</v>
      </c>
      <c r="AV879" s="19" t="s">
        <v>160</v>
      </c>
      <c r="AX879" s="19" t="s">
        <v>160</v>
      </c>
      <c r="AZ879" s="19" t="s">
        <v>160</v>
      </c>
      <c r="BB879" s="19"/>
      <c r="BC879" s="19"/>
      <c r="BD879" s="19"/>
      <c r="BE879" s="19"/>
    </row>
    <row r="880" spans="1:57" x14ac:dyDescent="0.25">
      <c r="A880" s="6" t="s">
        <v>8</v>
      </c>
      <c r="B880" s="9">
        <v>66120</v>
      </c>
      <c r="C880" s="9" t="s">
        <v>2427</v>
      </c>
      <c r="D880" s="9" t="s">
        <v>1476</v>
      </c>
      <c r="E880" s="3">
        <v>56.195700000000002</v>
      </c>
      <c r="F880" s="3">
        <v>16.401</v>
      </c>
      <c r="G880" s="9">
        <v>3</v>
      </c>
      <c r="H880" s="9" t="s">
        <v>150</v>
      </c>
      <c r="I880" s="6" t="s">
        <v>8</v>
      </c>
      <c r="J880" s="21" t="s">
        <v>8</v>
      </c>
      <c r="K880" s="3" t="s">
        <v>5</v>
      </c>
      <c r="L880" s="5" t="s">
        <v>2680</v>
      </c>
      <c r="M880" s="7" t="s">
        <v>717</v>
      </c>
      <c r="N880" s="19" t="s">
        <v>2517</v>
      </c>
      <c r="O880" s="22"/>
      <c r="P880" s="19" t="s">
        <v>160</v>
      </c>
      <c r="AR880" s="19" t="s">
        <v>160</v>
      </c>
      <c r="AT880" s="19" t="s">
        <v>160</v>
      </c>
      <c r="AV880" s="19" t="s">
        <v>160</v>
      </c>
      <c r="AX880" s="19" t="s">
        <v>160</v>
      </c>
      <c r="AZ880" s="19" t="s">
        <v>160</v>
      </c>
      <c r="BB880" s="19"/>
      <c r="BC880" s="19"/>
      <c r="BD880" s="19"/>
      <c r="BE880" s="19"/>
    </row>
    <row r="881" spans="1:57" x14ac:dyDescent="0.25">
      <c r="A881" s="9" t="s">
        <v>707</v>
      </c>
      <c r="B881" s="39" t="s">
        <v>701</v>
      </c>
      <c r="C881" s="39" t="s">
        <v>946</v>
      </c>
      <c r="D881" s="40" t="s">
        <v>702</v>
      </c>
      <c r="E881" s="46" t="s">
        <v>704</v>
      </c>
      <c r="F881" s="46" t="s">
        <v>703</v>
      </c>
      <c r="G881" s="40"/>
      <c r="H881" s="9" t="s">
        <v>150</v>
      </c>
      <c r="I881" s="41" t="s">
        <v>8</v>
      </c>
      <c r="J881" s="41" t="s">
        <v>8</v>
      </c>
      <c r="K881" s="40" t="s">
        <v>5</v>
      </c>
      <c r="L881" s="41" t="s">
        <v>2043</v>
      </c>
      <c r="M881" s="7" t="s">
        <v>2653</v>
      </c>
      <c r="N881" s="19" t="s">
        <v>2303</v>
      </c>
      <c r="O881" s="22"/>
      <c r="P881" s="19" t="s">
        <v>160</v>
      </c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2"/>
      <c r="AJ881" s="42"/>
      <c r="AK881" s="42"/>
      <c r="AL881" s="42"/>
      <c r="AM881" s="42"/>
      <c r="AN881" s="42"/>
      <c r="AO881" s="42"/>
      <c r="AP881" s="42"/>
      <c r="AQ881" s="42"/>
      <c r="AR881" s="42" t="s">
        <v>160</v>
      </c>
      <c r="AS881" s="42" t="s">
        <v>160</v>
      </c>
      <c r="AZ881" s="42"/>
      <c r="BA881" s="42"/>
      <c r="BB881" s="42"/>
      <c r="BC881" s="42"/>
      <c r="BD881" s="42"/>
      <c r="BE881" s="42"/>
    </row>
    <row r="882" spans="1:57" x14ac:dyDescent="0.25">
      <c r="A882" s="6" t="s">
        <v>8</v>
      </c>
      <c r="B882" s="9">
        <v>66110</v>
      </c>
      <c r="C882" s="9" t="s">
        <v>946</v>
      </c>
      <c r="D882" s="9" t="s">
        <v>1477</v>
      </c>
      <c r="E882" s="3">
        <v>56.197699999999998</v>
      </c>
      <c r="F882" s="3">
        <v>16.400500000000001</v>
      </c>
      <c r="G882" s="9">
        <v>1.53</v>
      </c>
      <c r="H882" s="9" t="s">
        <v>150</v>
      </c>
      <c r="I882" s="21" t="s">
        <v>8</v>
      </c>
      <c r="J882" s="21" t="s">
        <v>8</v>
      </c>
      <c r="K882" s="3" t="s">
        <v>5</v>
      </c>
      <c r="L882" s="5" t="s">
        <v>2680</v>
      </c>
      <c r="M882" s="7" t="s">
        <v>2653</v>
      </c>
      <c r="N882" s="19" t="s">
        <v>2303</v>
      </c>
      <c r="O882" s="22"/>
      <c r="P882" s="19" t="s">
        <v>160</v>
      </c>
      <c r="AR882" s="19" t="s">
        <v>160</v>
      </c>
      <c r="AS882" s="19" t="s">
        <v>160</v>
      </c>
      <c r="AT882" s="19" t="s">
        <v>160</v>
      </c>
      <c r="AU882" s="19" t="s">
        <v>160</v>
      </c>
      <c r="AV882" s="19" t="s">
        <v>160</v>
      </c>
      <c r="AW882" s="19" t="s">
        <v>160</v>
      </c>
      <c r="AX882" s="19" t="s">
        <v>160</v>
      </c>
      <c r="AY882" s="19" t="s">
        <v>160</v>
      </c>
      <c r="AZ882" s="19" t="s">
        <v>160</v>
      </c>
      <c r="BA882" s="19" t="s">
        <v>160</v>
      </c>
      <c r="BB882" s="19"/>
      <c r="BC882" s="19"/>
      <c r="BD882" s="19"/>
      <c r="BE882" s="19"/>
    </row>
    <row r="883" spans="1:57" x14ac:dyDescent="0.25">
      <c r="A883" s="9" t="s">
        <v>706</v>
      </c>
      <c r="B883" s="38">
        <v>136</v>
      </c>
      <c r="C883" s="38" t="s">
        <v>946</v>
      </c>
      <c r="D883" s="88" t="s">
        <v>145</v>
      </c>
      <c r="E883" s="3">
        <f>56+11/60+52/3600</f>
        <v>56.197777777777773</v>
      </c>
      <c r="F883" s="3">
        <f>16+24/60+2/3600</f>
        <v>16.400555555555552</v>
      </c>
      <c r="G883" s="40"/>
      <c r="H883" s="9" t="s">
        <v>150</v>
      </c>
      <c r="I883" s="7" t="s">
        <v>8</v>
      </c>
      <c r="J883" s="7" t="s">
        <v>8</v>
      </c>
      <c r="K883" s="9" t="s">
        <v>5</v>
      </c>
      <c r="L883" s="5" t="s">
        <v>2680</v>
      </c>
      <c r="M883" s="7" t="s">
        <v>2653</v>
      </c>
      <c r="N883" s="19" t="s">
        <v>2303</v>
      </c>
      <c r="O883" s="22"/>
      <c r="P883" s="19" t="s">
        <v>160</v>
      </c>
      <c r="AR883" s="19" t="s">
        <v>160</v>
      </c>
      <c r="AS883" s="19" t="s">
        <v>160</v>
      </c>
      <c r="AT883" s="19" t="s">
        <v>160</v>
      </c>
      <c r="AU883" s="19" t="s">
        <v>160</v>
      </c>
      <c r="AV883" s="19" t="s">
        <v>160</v>
      </c>
      <c r="AW883" s="19" t="s">
        <v>160</v>
      </c>
      <c r="AX883" s="19" t="s">
        <v>160</v>
      </c>
      <c r="AY883" s="19" t="s">
        <v>160</v>
      </c>
      <c r="AZ883" s="19" t="s">
        <v>160</v>
      </c>
      <c r="BA883" s="19" t="s">
        <v>160</v>
      </c>
      <c r="BB883" s="19"/>
      <c r="BC883" s="19"/>
      <c r="BD883" s="19"/>
      <c r="BE883" s="19"/>
    </row>
    <row r="884" spans="1:57" x14ac:dyDescent="0.25">
      <c r="A884" s="9" t="s">
        <v>8</v>
      </c>
      <c r="B884" s="26">
        <v>35064</v>
      </c>
      <c r="C884" s="24" t="s">
        <v>1080</v>
      </c>
      <c r="D884" s="24" t="s">
        <v>1690</v>
      </c>
      <c r="E884" s="25">
        <f>56+4/60</f>
        <v>56.06666666666667</v>
      </c>
      <c r="F884" s="25">
        <f>16+41/60</f>
        <v>16.683333333333334</v>
      </c>
      <c r="G884" s="9"/>
      <c r="H884" s="9" t="s">
        <v>150</v>
      </c>
      <c r="I884" s="9" t="s">
        <v>8</v>
      </c>
      <c r="J884" s="7" t="s">
        <v>8</v>
      </c>
      <c r="K884" s="10" t="s">
        <v>951</v>
      </c>
      <c r="L884" s="7" t="s">
        <v>2044</v>
      </c>
      <c r="M884" s="7" t="s">
        <v>717</v>
      </c>
      <c r="N884" s="42">
        <v>1984</v>
      </c>
      <c r="O884" s="22"/>
      <c r="P884" s="42"/>
      <c r="S884" s="42" t="s">
        <v>160</v>
      </c>
      <c r="T884" s="19" t="s">
        <v>160</v>
      </c>
      <c r="U884" s="42"/>
      <c r="AN884" s="19" t="s">
        <v>160</v>
      </c>
      <c r="BB884" s="19"/>
      <c r="BC884" s="19"/>
      <c r="BD884" s="19"/>
      <c r="BE884" s="19"/>
    </row>
    <row r="885" spans="1:57" x14ac:dyDescent="0.25">
      <c r="A885" s="9" t="s">
        <v>707</v>
      </c>
      <c r="B885" s="137" t="s">
        <v>477</v>
      </c>
      <c r="C885" s="23" t="s">
        <v>735</v>
      </c>
      <c r="D885" s="40" t="s">
        <v>478</v>
      </c>
      <c r="E885" s="46" t="s">
        <v>480</v>
      </c>
      <c r="F885" s="46" t="s">
        <v>479</v>
      </c>
      <c r="G885" s="40"/>
      <c r="H885" s="9" t="s">
        <v>150</v>
      </c>
      <c r="I885" s="41" t="s">
        <v>481</v>
      </c>
      <c r="J885" s="7" t="s">
        <v>8</v>
      </c>
      <c r="K885" s="40" t="s">
        <v>6</v>
      </c>
      <c r="L885" s="41" t="s">
        <v>2030</v>
      </c>
      <c r="M885" s="7" t="s">
        <v>2653</v>
      </c>
      <c r="N885" s="42" t="s">
        <v>1135</v>
      </c>
      <c r="P885" s="42" t="s">
        <v>160</v>
      </c>
      <c r="Q885" s="44" t="s">
        <v>1158</v>
      </c>
      <c r="R885" s="44" t="s">
        <v>2014</v>
      </c>
      <c r="S885" s="19" t="s">
        <v>160</v>
      </c>
      <c r="T885" s="19" t="s">
        <v>160</v>
      </c>
      <c r="U885" s="19">
        <v>1</v>
      </c>
      <c r="V885" s="42" t="s">
        <v>160</v>
      </c>
      <c r="W885" s="42" t="s">
        <v>160</v>
      </c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2"/>
      <c r="AJ885" s="42"/>
      <c r="AK885" s="42"/>
      <c r="AL885" s="42"/>
      <c r="AM885" s="42"/>
      <c r="AN885" s="42"/>
      <c r="AO885" s="42"/>
      <c r="AP885" s="42"/>
      <c r="AQ885" s="42"/>
      <c r="AR885" s="42"/>
      <c r="AS885" s="42"/>
      <c r="AZ885" s="42"/>
      <c r="BA885" s="42"/>
      <c r="BB885" s="42"/>
      <c r="BC885" s="42"/>
      <c r="BD885" s="42"/>
      <c r="BE885" s="42"/>
    </row>
    <row r="886" spans="1:57" x14ac:dyDescent="0.25">
      <c r="A886" s="53" t="s">
        <v>2763</v>
      </c>
      <c r="B886" s="138">
        <v>33084</v>
      </c>
      <c r="C886" s="53" t="s">
        <v>735</v>
      </c>
      <c r="D886" s="53" t="s">
        <v>735</v>
      </c>
      <c r="E886" s="35">
        <f>57+23/60+30.96/3600</f>
        <v>57.391933333333334</v>
      </c>
      <c r="F886" s="35">
        <f>11+55/60+7.91/3600</f>
        <v>11.918863888888888</v>
      </c>
      <c r="G886" s="53">
        <v>2.5499999999999998</v>
      </c>
      <c r="H886" s="9" t="s">
        <v>150</v>
      </c>
      <c r="I886" s="7" t="s">
        <v>2634</v>
      </c>
      <c r="J886" s="53" t="s">
        <v>2634</v>
      </c>
      <c r="K886" s="7" t="s">
        <v>6</v>
      </c>
      <c r="L886" s="7" t="s">
        <v>2031</v>
      </c>
      <c r="M886" s="7" t="s">
        <v>2653</v>
      </c>
      <c r="N886" s="42" t="s">
        <v>1135</v>
      </c>
      <c r="O886" s="22"/>
      <c r="P886" s="42" t="s">
        <v>160</v>
      </c>
      <c r="Q886" s="44" t="s">
        <v>1158</v>
      </c>
      <c r="R886" s="44" t="s">
        <v>2014</v>
      </c>
      <c r="S886" s="19" t="s">
        <v>160</v>
      </c>
      <c r="T886" s="19" t="s">
        <v>160</v>
      </c>
      <c r="U886" s="42">
        <v>1</v>
      </c>
      <c r="V886" s="20" t="s">
        <v>160</v>
      </c>
      <c r="W886" s="20" t="s">
        <v>160</v>
      </c>
      <c r="X886" s="20" t="s">
        <v>160</v>
      </c>
      <c r="Y886" s="20" t="s">
        <v>160</v>
      </c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94" customFormat="1" x14ac:dyDescent="0.25">
      <c r="A887" s="105" t="s">
        <v>2773</v>
      </c>
      <c r="B887" s="139" t="s">
        <v>2940</v>
      </c>
      <c r="C887" s="110" t="s">
        <v>735</v>
      </c>
      <c r="D887" s="153" t="s">
        <v>735</v>
      </c>
      <c r="E887" s="101">
        <f>57+23/60+31/3600</f>
        <v>57.391944444444441</v>
      </c>
      <c r="F887" s="101">
        <f>11+55/60+8/3600</f>
        <v>11.918888888888889</v>
      </c>
      <c r="G887" s="178">
        <v>2.5499999999999998</v>
      </c>
      <c r="H887" s="105" t="s">
        <v>150</v>
      </c>
      <c r="I887" s="105" t="s">
        <v>2634</v>
      </c>
      <c r="J887" s="105" t="s">
        <v>8</v>
      </c>
      <c r="K887" s="105" t="s">
        <v>6</v>
      </c>
      <c r="L887" s="105" t="s">
        <v>2031</v>
      </c>
      <c r="M887" s="105" t="s">
        <v>2653</v>
      </c>
      <c r="N887" s="106" t="s">
        <v>1135</v>
      </c>
      <c r="O887" s="104"/>
      <c r="P887" s="106" t="s">
        <v>160</v>
      </c>
      <c r="Q887" s="107" t="s">
        <v>1158</v>
      </c>
      <c r="R887" s="107" t="s">
        <v>2014</v>
      </c>
      <c r="S887" s="108" t="s">
        <v>160</v>
      </c>
      <c r="T887" s="108" t="s">
        <v>160</v>
      </c>
      <c r="U887" s="106">
        <v>1</v>
      </c>
      <c r="V887" s="103" t="s">
        <v>160</v>
      </c>
      <c r="W887" s="103" t="s">
        <v>160</v>
      </c>
      <c r="X887" s="103" t="s">
        <v>160</v>
      </c>
      <c r="Y887" s="103" t="s">
        <v>160</v>
      </c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  <c r="BD887" s="103"/>
      <c r="BE887" s="103"/>
    </row>
    <row r="888" spans="1:57" x14ac:dyDescent="0.25">
      <c r="A888" s="7" t="s">
        <v>8</v>
      </c>
      <c r="B888" s="142">
        <v>33084</v>
      </c>
      <c r="C888" s="23" t="s">
        <v>735</v>
      </c>
      <c r="D888" t="s">
        <v>735</v>
      </c>
      <c r="E888" s="193">
        <v>57.3919</v>
      </c>
      <c r="F888" s="193">
        <v>11.918900000000001</v>
      </c>
      <c r="G888" s="43"/>
      <c r="H888" s="7" t="s">
        <v>150</v>
      </c>
      <c r="I888" s="7" t="s">
        <v>2634</v>
      </c>
      <c r="J888" s="7" t="s">
        <v>8</v>
      </c>
      <c r="K888" s="7" t="s">
        <v>6</v>
      </c>
      <c r="L888" s="7" t="s">
        <v>2031</v>
      </c>
      <c r="M888" s="7" t="s">
        <v>2653</v>
      </c>
      <c r="N888" s="42" t="s">
        <v>1135</v>
      </c>
      <c r="O888" s="22"/>
      <c r="P888" s="42" t="s">
        <v>160</v>
      </c>
      <c r="Q888" s="44" t="s">
        <v>1158</v>
      </c>
      <c r="R888" s="44" t="s">
        <v>2014</v>
      </c>
      <c r="S888" s="19" t="s">
        <v>160</v>
      </c>
      <c r="T888" s="19" t="s">
        <v>160</v>
      </c>
      <c r="U888" s="42">
        <v>1</v>
      </c>
      <c r="V888" s="20" t="s">
        <v>160</v>
      </c>
      <c r="W888" s="20" t="s">
        <v>160</v>
      </c>
      <c r="X888" s="20" t="s">
        <v>160</v>
      </c>
      <c r="Y888" s="20" t="s">
        <v>160</v>
      </c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  <c r="AS888" s="20"/>
      <c r="AT888" s="20"/>
      <c r="AU888" s="20"/>
      <c r="AV888" s="20"/>
      <c r="AW888" s="20"/>
      <c r="AX888" s="20"/>
      <c r="AY888" s="20"/>
      <c r="AZ888" s="20"/>
      <c r="BA888" s="20"/>
      <c r="BB888" s="20"/>
      <c r="BC888" s="20"/>
      <c r="BD888" s="20"/>
      <c r="BE888" s="20"/>
    </row>
    <row r="889" spans="1:57" x14ac:dyDescent="0.25">
      <c r="A889" s="9" t="s">
        <v>706</v>
      </c>
      <c r="B889" s="140">
        <v>181</v>
      </c>
      <c r="C889" s="23" t="s">
        <v>735</v>
      </c>
      <c r="D889" s="62" t="s">
        <v>86</v>
      </c>
      <c r="E889" s="5">
        <f>57+23/60+31/3600</f>
        <v>57.391944444444441</v>
      </c>
      <c r="F889" s="5">
        <f>11+55/60+8/3600</f>
        <v>11.918888888888889</v>
      </c>
      <c r="G889" s="43"/>
      <c r="H889" s="9" t="s">
        <v>150</v>
      </c>
      <c r="I889" s="7" t="s">
        <v>2634</v>
      </c>
      <c r="J889" s="7" t="s">
        <v>8</v>
      </c>
      <c r="K889" s="9" t="s">
        <v>6</v>
      </c>
      <c r="L889" s="7" t="s">
        <v>2031</v>
      </c>
      <c r="M889" s="7" t="s">
        <v>2653</v>
      </c>
      <c r="N889" s="42" t="s">
        <v>1135</v>
      </c>
      <c r="O889" s="22"/>
      <c r="P889" s="42" t="s">
        <v>160</v>
      </c>
      <c r="Q889" s="44" t="s">
        <v>1158</v>
      </c>
      <c r="R889" s="44" t="s">
        <v>2014</v>
      </c>
      <c r="S889" s="19" t="s">
        <v>160</v>
      </c>
      <c r="T889" s="19" t="s">
        <v>160</v>
      </c>
      <c r="U889" s="19">
        <v>1</v>
      </c>
      <c r="V889" s="19" t="s">
        <v>160</v>
      </c>
      <c r="W889" s="19" t="s">
        <v>160</v>
      </c>
      <c r="X889" s="19" t="s">
        <v>160</v>
      </c>
      <c r="Y889" s="19" t="s">
        <v>160</v>
      </c>
      <c r="BB889" s="19"/>
      <c r="BC889" s="19"/>
      <c r="BD889" s="19"/>
      <c r="BE889" s="19"/>
    </row>
    <row r="890" spans="1:57" x14ac:dyDescent="0.25">
      <c r="A890" s="6" t="s">
        <v>8</v>
      </c>
      <c r="B890" s="9">
        <v>108640</v>
      </c>
      <c r="C890" s="9" t="s">
        <v>2378</v>
      </c>
      <c r="D890" s="9" t="s">
        <v>1478</v>
      </c>
      <c r="E890" s="3">
        <v>60.333300000000001</v>
      </c>
      <c r="F890" s="3">
        <v>18.433299999999999</v>
      </c>
      <c r="G890" s="9">
        <v>7</v>
      </c>
      <c r="H890" s="9" t="s">
        <v>150</v>
      </c>
      <c r="I890" s="6" t="s">
        <v>8</v>
      </c>
      <c r="J890" s="21" t="s">
        <v>8</v>
      </c>
      <c r="K890" s="3" t="s">
        <v>5</v>
      </c>
      <c r="L890" s="5" t="s">
        <v>2680</v>
      </c>
      <c r="M890" s="7" t="s">
        <v>717</v>
      </c>
      <c r="N890" s="19" t="s">
        <v>2474</v>
      </c>
      <c r="O890" s="22"/>
      <c r="P890" s="19" t="s">
        <v>160</v>
      </c>
      <c r="AR890" s="19" t="s">
        <v>160</v>
      </c>
      <c r="AT890" s="19" t="s">
        <v>160</v>
      </c>
      <c r="AV890" s="19" t="s">
        <v>160</v>
      </c>
      <c r="AX890" s="19" t="s">
        <v>160</v>
      </c>
      <c r="AZ890" s="19" t="s">
        <v>160</v>
      </c>
      <c r="BB890" s="19"/>
      <c r="BC890" s="19"/>
      <c r="BD890" s="19"/>
      <c r="BE890" s="19"/>
    </row>
    <row r="891" spans="1:57" x14ac:dyDescent="0.25">
      <c r="A891" s="6" t="s">
        <v>8</v>
      </c>
      <c r="B891" s="9">
        <v>52510</v>
      </c>
      <c r="C891" s="9" t="s">
        <v>1479</v>
      </c>
      <c r="D891" s="9" t="s">
        <v>1480</v>
      </c>
      <c r="E891" s="3">
        <v>55.879800000000003</v>
      </c>
      <c r="F891" s="3">
        <v>12.8705</v>
      </c>
      <c r="G891" s="9">
        <v>11</v>
      </c>
      <c r="H891" s="9" t="s">
        <v>150</v>
      </c>
      <c r="I891" s="6" t="s">
        <v>8</v>
      </c>
      <c r="J891" s="21" t="s">
        <v>8</v>
      </c>
      <c r="K891" s="3" t="s">
        <v>5</v>
      </c>
      <c r="L891" s="5" t="s">
        <v>2681</v>
      </c>
      <c r="M891" s="7" t="s">
        <v>717</v>
      </c>
      <c r="N891" s="19" t="s">
        <v>2518</v>
      </c>
      <c r="O891" s="22"/>
      <c r="P891" s="19" t="s">
        <v>160</v>
      </c>
      <c r="AR891" s="19" t="s">
        <v>160</v>
      </c>
      <c r="AT891" s="19" t="s">
        <v>160</v>
      </c>
      <c r="AX891" s="19" t="s">
        <v>160</v>
      </c>
      <c r="AZ891" s="19" t="s">
        <v>160</v>
      </c>
      <c r="BB891" s="19"/>
      <c r="BC891" s="19"/>
      <c r="BD891" s="19"/>
      <c r="BE891" s="19"/>
    </row>
    <row r="892" spans="1:57" s="94" customFormat="1" x14ac:dyDescent="0.25">
      <c r="A892" s="98" t="s">
        <v>2773</v>
      </c>
      <c r="B892" s="135">
        <v>2059</v>
      </c>
      <c r="C892" s="98" t="s">
        <v>1251</v>
      </c>
      <c r="D892" s="98" t="s">
        <v>1209</v>
      </c>
      <c r="E892" s="189">
        <f>63+16/60+48/3600</f>
        <v>63.28</v>
      </c>
      <c r="F892" s="189">
        <f>18+43/60+48/3600</f>
        <v>18.729999999999997</v>
      </c>
      <c r="G892" s="101"/>
      <c r="H892" s="98" t="s">
        <v>150</v>
      </c>
      <c r="I892" s="98" t="s">
        <v>8</v>
      </c>
      <c r="J892" s="102" t="s">
        <v>8</v>
      </c>
      <c r="K892" s="98" t="s">
        <v>6</v>
      </c>
      <c r="L892" s="102" t="s">
        <v>2030</v>
      </c>
      <c r="M892" s="102" t="s">
        <v>717</v>
      </c>
      <c r="N892" s="104" t="s">
        <v>1283</v>
      </c>
      <c r="O892" s="104"/>
      <c r="P892" s="104"/>
      <c r="Q892" s="108" t="s">
        <v>1646</v>
      </c>
      <c r="R892" s="103"/>
      <c r="S892" s="103"/>
      <c r="T892" s="103"/>
      <c r="U892" s="104">
        <v>4</v>
      </c>
      <c r="V892" s="103" t="s">
        <v>160</v>
      </c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  <c r="BD892" s="103"/>
      <c r="BE892" s="103"/>
    </row>
    <row r="893" spans="1:57" x14ac:dyDescent="0.25">
      <c r="A893" s="9" t="s">
        <v>8</v>
      </c>
      <c r="B893" s="26">
        <v>35053</v>
      </c>
      <c r="C893" s="24" t="s">
        <v>1070</v>
      </c>
      <c r="D893" s="24" t="s">
        <v>1691</v>
      </c>
      <c r="E893" s="195">
        <v>63.28</v>
      </c>
      <c r="F893" s="195">
        <v>18.73</v>
      </c>
      <c r="G893" s="9"/>
      <c r="H893" s="9" t="s">
        <v>150</v>
      </c>
      <c r="I893" s="9" t="s">
        <v>8</v>
      </c>
      <c r="J893" s="7" t="s">
        <v>8</v>
      </c>
      <c r="K893" s="10" t="s">
        <v>951</v>
      </c>
      <c r="L893" s="7" t="s">
        <v>2044</v>
      </c>
      <c r="M893" s="7" t="s">
        <v>717</v>
      </c>
      <c r="N893" s="42">
        <v>1989</v>
      </c>
      <c r="O893" s="22"/>
      <c r="P893" s="42" t="s">
        <v>160</v>
      </c>
      <c r="S893" s="42" t="s">
        <v>160</v>
      </c>
      <c r="T893" s="19" t="s">
        <v>160</v>
      </c>
      <c r="U893" s="42"/>
      <c r="AN893" s="19" t="s">
        <v>160</v>
      </c>
      <c r="BB893" s="19"/>
      <c r="BC893" s="19"/>
      <c r="BD893" s="19"/>
      <c r="BE893" s="19"/>
    </row>
    <row r="894" spans="1:57" s="94" customFormat="1" x14ac:dyDescent="0.25">
      <c r="A894" s="32" t="s">
        <v>707</v>
      </c>
      <c r="B894" s="33"/>
      <c r="C894" s="33" t="s">
        <v>1481</v>
      </c>
      <c r="D894" s="33" t="s">
        <v>2713</v>
      </c>
      <c r="E894" s="35"/>
      <c r="F894" s="35"/>
      <c r="G894" s="33"/>
      <c r="H894" s="33" t="s">
        <v>150</v>
      </c>
      <c r="I894" s="21" t="s">
        <v>8</v>
      </c>
      <c r="J894" s="32" t="s">
        <v>8</v>
      </c>
      <c r="K894" s="35" t="s">
        <v>5</v>
      </c>
      <c r="L894" s="35" t="s">
        <v>2043</v>
      </c>
      <c r="M894" s="33" t="s">
        <v>2653</v>
      </c>
      <c r="N894" s="37" t="s">
        <v>2385</v>
      </c>
      <c r="O894" s="67"/>
      <c r="P894" s="37" t="s">
        <v>160</v>
      </c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  <c r="AI894" s="37"/>
      <c r="AJ894" s="37"/>
      <c r="AK894" s="37"/>
      <c r="AL894" s="37"/>
      <c r="AM894" s="37"/>
      <c r="AN894" s="37"/>
      <c r="AO894" s="37"/>
      <c r="AP894" s="37"/>
      <c r="AQ894" s="37"/>
      <c r="AR894" s="37" t="s">
        <v>160</v>
      </c>
      <c r="AS894" s="37" t="s">
        <v>160</v>
      </c>
      <c r="AT894" s="37"/>
      <c r="AU894" s="37"/>
      <c r="AV894" s="37"/>
      <c r="AW894" s="37"/>
      <c r="AX894" s="37"/>
      <c r="AY894" s="37"/>
      <c r="AZ894" s="37"/>
      <c r="BA894" s="37"/>
      <c r="BB894" s="37"/>
      <c r="BC894" s="37"/>
      <c r="BD894" s="37"/>
      <c r="BE894" s="37"/>
    </row>
    <row r="895" spans="1:57" x14ac:dyDescent="0.25">
      <c r="A895" s="6" t="s">
        <v>8</v>
      </c>
      <c r="B895" s="9" t="s">
        <v>2941</v>
      </c>
      <c r="C895" s="9" t="s">
        <v>1481</v>
      </c>
      <c r="D895" t="s">
        <v>1482</v>
      </c>
      <c r="E895" s="3">
        <f>60+31/60+32.16/3600</f>
        <v>60.525599999999997</v>
      </c>
      <c r="F895" s="3">
        <f>18+22/60+22.44/3600</f>
        <v>18.372900000000001</v>
      </c>
      <c r="G895" s="9">
        <v>6.5389999999999997</v>
      </c>
      <c r="H895" s="9" t="s">
        <v>150</v>
      </c>
      <c r="I895" s="21" t="s">
        <v>8</v>
      </c>
      <c r="J895" s="21" t="s">
        <v>8</v>
      </c>
      <c r="K895" s="3" t="s">
        <v>5</v>
      </c>
      <c r="L895" s="5" t="s">
        <v>2680</v>
      </c>
      <c r="M895" s="7" t="s">
        <v>2653</v>
      </c>
      <c r="N895" s="19" t="s">
        <v>2385</v>
      </c>
      <c r="O895" s="22"/>
      <c r="P895" s="19" t="s">
        <v>160</v>
      </c>
      <c r="AR895" s="19" t="s">
        <v>160</v>
      </c>
      <c r="AS895" s="19" t="s">
        <v>160</v>
      </c>
      <c r="AT895" s="19" t="s">
        <v>160</v>
      </c>
      <c r="AU895" s="19" t="s">
        <v>160</v>
      </c>
      <c r="AV895" s="19" t="s">
        <v>160</v>
      </c>
      <c r="AW895" s="19" t="s">
        <v>160</v>
      </c>
      <c r="AX895" s="19" t="s">
        <v>160</v>
      </c>
      <c r="AY895" s="19" t="s">
        <v>160</v>
      </c>
      <c r="AZ895" s="19" t="s">
        <v>160</v>
      </c>
      <c r="BA895" s="19" t="s">
        <v>160</v>
      </c>
      <c r="BB895" s="19"/>
      <c r="BC895" s="19"/>
      <c r="BD895" s="19"/>
      <c r="BE895" s="19"/>
    </row>
    <row r="896" spans="1:57" s="33" customFormat="1" x14ac:dyDescent="0.25">
      <c r="A896" s="6" t="s">
        <v>8</v>
      </c>
      <c r="B896" s="9">
        <v>108320</v>
      </c>
      <c r="C896" s="9" t="s">
        <v>1481</v>
      </c>
      <c r="D896" s="9" t="s">
        <v>1482</v>
      </c>
      <c r="E896" s="3">
        <f>60+31/60+32.16/3600</f>
        <v>60.525599999999997</v>
      </c>
      <c r="F896" s="3">
        <f>18+22/60+22.44/3600</f>
        <v>18.372900000000001</v>
      </c>
      <c r="G896" s="9">
        <v>6.5389999999999997</v>
      </c>
      <c r="H896" s="9" t="s">
        <v>150</v>
      </c>
      <c r="I896" s="21" t="s">
        <v>8</v>
      </c>
      <c r="J896" s="21" t="s">
        <v>8</v>
      </c>
      <c r="K896" s="3" t="s">
        <v>5</v>
      </c>
      <c r="L896" s="5" t="s">
        <v>2680</v>
      </c>
      <c r="M896" s="7" t="s">
        <v>2653</v>
      </c>
      <c r="N896" s="19" t="s">
        <v>2385</v>
      </c>
      <c r="O896" s="22"/>
      <c r="P896" s="19" t="s">
        <v>160</v>
      </c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 t="s">
        <v>160</v>
      </c>
      <c r="AS896" s="19" t="s">
        <v>160</v>
      </c>
      <c r="AT896" s="19" t="s">
        <v>160</v>
      </c>
      <c r="AU896" s="19" t="s">
        <v>160</v>
      </c>
      <c r="AV896" s="19" t="s">
        <v>160</v>
      </c>
      <c r="AW896" s="19" t="s">
        <v>160</v>
      </c>
      <c r="AX896" s="19" t="s">
        <v>160</v>
      </c>
      <c r="AY896" s="19" t="s">
        <v>160</v>
      </c>
      <c r="AZ896" s="19" t="s">
        <v>160</v>
      </c>
      <c r="BA896" s="19" t="s">
        <v>160</v>
      </c>
      <c r="BB896" s="19"/>
      <c r="BC896" s="19"/>
      <c r="BD896" s="19"/>
      <c r="BE896" s="19"/>
    </row>
    <row r="897" spans="1:57" x14ac:dyDescent="0.25">
      <c r="A897" s="6" t="s">
        <v>706</v>
      </c>
      <c r="B897" s="9">
        <v>197</v>
      </c>
      <c r="C897" s="9" t="s">
        <v>1481</v>
      </c>
      <c r="D897" s="62" t="s">
        <v>2714</v>
      </c>
      <c r="E897" s="3">
        <f>60+31/60+32/3600</f>
        <v>60.525555555555556</v>
      </c>
      <c r="F897" s="3">
        <f>18+22/60+23/3600</f>
        <v>18.373055555555556</v>
      </c>
      <c r="G897" s="9"/>
      <c r="H897" s="9" t="s">
        <v>150</v>
      </c>
      <c r="I897" s="21" t="s">
        <v>8</v>
      </c>
      <c r="J897" s="21" t="s">
        <v>8</v>
      </c>
      <c r="K897" s="3" t="s">
        <v>5</v>
      </c>
      <c r="L897" s="5" t="s">
        <v>2043</v>
      </c>
      <c r="M897" s="7" t="s">
        <v>2653</v>
      </c>
      <c r="N897" s="19" t="s">
        <v>2385</v>
      </c>
      <c r="O897" s="22"/>
      <c r="P897" s="19" t="s">
        <v>160</v>
      </c>
      <c r="AR897" s="19" t="s">
        <v>160</v>
      </c>
      <c r="AS897" s="19" t="s">
        <v>160</v>
      </c>
      <c r="BB897" s="19"/>
      <c r="BC897" s="19"/>
      <c r="BD897" s="19"/>
      <c r="BE897" s="19"/>
    </row>
    <row r="898" spans="1:57" x14ac:dyDescent="0.25">
      <c r="A898" s="9" t="s">
        <v>8</v>
      </c>
      <c r="B898" s="26">
        <v>35011</v>
      </c>
      <c r="C898" s="24" t="s">
        <v>1045</v>
      </c>
      <c r="D898" t="s">
        <v>1046</v>
      </c>
      <c r="E898" s="25">
        <f>55+35/60</f>
        <v>55.583333333333336</v>
      </c>
      <c r="F898" s="25">
        <f>12+51/60</f>
        <v>12.85</v>
      </c>
      <c r="G898" s="9"/>
      <c r="H898" s="9" t="s">
        <v>150</v>
      </c>
      <c r="I898" s="9" t="s">
        <v>8</v>
      </c>
      <c r="J898" s="7" t="s">
        <v>8</v>
      </c>
      <c r="K898" s="10" t="s">
        <v>953</v>
      </c>
      <c r="L898" s="7" t="s">
        <v>2685</v>
      </c>
      <c r="M898" s="7" t="s">
        <v>717</v>
      </c>
      <c r="N898" s="42" t="s">
        <v>1344</v>
      </c>
      <c r="O898" s="22"/>
      <c r="P898" s="42"/>
      <c r="S898" s="19" t="s">
        <v>160</v>
      </c>
      <c r="T898" s="19" t="s">
        <v>160</v>
      </c>
      <c r="U898" s="42"/>
      <c r="X898" s="19" t="s">
        <v>160</v>
      </c>
      <c r="Z898" s="19" t="s">
        <v>160</v>
      </c>
      <c r="AL898" s="19" t="s">
        <v>160</v>
      </c>
      <c r="AR898" s="19" t="s">
        <v>160</v>
      </c>
      <c r="AT898" s="19" t="s">
        <v>160</v>
      </c>
      <c r="BB898" s="19"/>
      <c r="BC898" s="19"/>
      <c r="BD898" s="19"/>
      <c r="BE898" s="19"/>
    </row>
    <row r="899" spans="1:57" x14ac:dyDescent="0.25">
      <c r="A899" s="9" t="s">
        <v>8</v>
      </c>
      <c r="B899" s="26">
        <v>35067</v>
      </c>
      <c r="C899" s="24" t="s">
        <v>1083</v>
      </c>
      <c r="D899" s="24" t="s">
        <v>1045</v>
      </c>
      <c r="E899" s="25">
        <f>55+36/60</f>
        <v>55.6</v>
      </c>
      <c r="F899" s="25">
        <f>12+51/60</f>
        <v>12.85</v>
      </c>
      <c r="H899" s="9" t="s">
        <v>150</v>
      </c>
      <c r="I899" s="9" t="s">
        <v>8</v>
      </c>
      <c r="J899" s="7" t="s">
        <v>8</v>
      </c>
      <c r="K899" s="10" t="s">
        <v>951</v>
      </c>
      <c r="L899" s="7" t="s">
        <v>2049</v>
      </c>
      <c r="M899" s="7" t="s">
        <v>717</v>
      </c>
      <c r="N899" s="42" t="s">
        <v>1354</v>
      </c>
      <c r="O899" s="22"/>
      <c r="P899" s="42" t="s">
        <v>160</v>
      </c>
      <c r="S899" s="42" t="s">
        <v>160</v>
      </c>
      <c r="T899" s="19" t="s">
        <v>160</v>
      </c>
      <c r="U899" s="42"/>
      <c r="AN899" s="19" t="s">
        <v>160</v>
      </c>
      <c r="BB899" s="19"/>
      <c r="BC899" s="19"/>
      <c r="BD899" s="19"/>
      <c r="BE899" s="19"/>
    </row>
    <row r="900" spans="1:57" x14ac:dyDescent="0.25">
      <c r="A900" s="9" t="s">
        <v>8</v>
      </c>
      <c r="B900" s="27">
        <v>37301</v>
      </c>
      <c r="C900" s="28" t="s">
        <v>1959</v>
      </c>
      <c r="D900" s="28" t="s">
        <v>1045</v>
      </c>
      <c r="E900" s="25">
        <v>55.6</v>
      </c>
      <c r="F900" s="25">
        <v>12.8833</v>
      </c>
      <c r="H900" s="9" t="s">
        <v>150</v>
      </c>
      <c r="I900" s="9" t="s">
        <v>8</v>
      </c>
      <c r="J900" s="7" t="s">
        <v>8</v>
      </c>
      <c r="K900" s="6" t="s">
        <v>2455</v>
      </c>
      <c r="L900" s="7" t="s">
        <v>2027</v>
      </c>
      <c r="M900" s="28" t="s">
        <v>717</v>
      </c>
      <c r="N900" s="19" t="s">
        <v>1854</v>
      </c>
      <c r="O900" s="22"/>
      <c r="T900" s="7"/>
      <c r="X900" s="19" t="s">
        <v>160</v>
      </c>
      <c r="BA900" s="7"/>
      <c r="BB900" s="7"/>
      <c r="BC900" s="7"/>
      <c r="BD900" s="7"/>
      <c r="BE900" s="7"/>
    </row>
    <row r="901" spans="1:57" x14ac:dyDescent="0.25">
      <c r="A901" s="6" t="s">
        <v>8</v>
      </c>
      <c r="B901" s="9">
        <v>52360</v>
      </c>
      <c r="C901" s="9" t="s">
        <v>1483</v>
      </c>
      <c r="D901" s="9" t="s">
        <v>1484</v>
      </c>
      <c r="E901" s="3">
        <v>55.597000000000001</v>
      </c>
      <c r="F901" s="3">
        <v>12.8575</v>
      </c>
      <c r="G901" s="9">
        <v>1</v>
      </c>
      <c r="H901" s="9" t="s">
        <v>150</v>
      </c>
      <c r="I901" s="6" t="s">
        <v>8</v>
      </c>
      <c r="J901" s="21" t="s">
        <v>8</v>
      </c>
      <c r="K901" s="3" t="s">
        <v>5</v>
      </c>
      <c r="L901" s="5" t="s">
        <v>2681</v>
      </c>
      <c r="M901" s="7" t="s">
        <v>717</v>
      </c>
      <c r="N901" s="19" t="s">
        <v>2519</v>
      </c>
      <c r="O901" s="22"/>
      <c r="P901" s="19" t="s">
        <v>160</v>
      </c>
      <c r="AR901" s="19" t="s">
        <v>160</v>
      </c>
      <c r="AT901" s="19" t="s">
        <v>160</v>
      </c>
      <c r="AX901" s="19" t="s">
        <v>160</v>
      </c>
      <c r="AZ901" s="19" t="s">
        <v>160</v>
      </c>
      <c r="BB901" s="19"/>
      <c r="BC901" s="19"/>
      <c r="BD901" s="19"/>
      <c r="BE901" s="19"/>
    </row>
    <row r="902" spans="1:57" s="94" customFormat="1" x14ac:dyDescent="0.25">
      <c r="A902" s="98" t="s">
        <v>2773</v>
      </c>
      <c r="B902" s="135" t="s">
        <v>2966</v>
      </c>
      <c r="C902" s="98" t="s">
        <v>1271</v>
      </c>
      <c r="D902" s="98" t="s">
        <v>1237</v>
      </c>
      <c r="E902" s="189">
        <f>55+35/60+24/3600</f>
        <v>55.59</v>
      </c>
      <c r="F902" s="189">
        <f>12+51/60+36/3600</f>
        <v>12.86</v>
      </c>
      <c r="G902" s="101"/>
      <c r="H902" s="98" t="s">
        <v>150</v>
      </c>
      <c r="I902" s="98" t="s">
        <v>8</v>
      </c>
      <c r="J902" s="102" t="s">
        <v>8</v>
      </c>
      <c r="K902" s="98" t="s">
        <v>6</v>
      </c>
      <c r="L902" s="102" t="s">
        <v>2030</v>
      </c>
      <c r="M902" s="102" t="s">
        <v>717</v>
      </c>
      <c r="N902" s="104" t="s">
        <v>1315</v>
      </c>
      <c r="O902" s="104"/>
      <c r="P902" s="104"/>
      <c r="Q902" s="103" t="s">
        <v>2259</v>
      </c>
      <c r="R902" s="103"/>
      <c r="S902" s="103"/>
      <c r="T902" s="103"/>
      <c r="U902" s="104">
        <v>4</v>
      </c>
      <c r="V902" s="103" t="s">
        <v>160</v>
      </c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  <c r="BD902" s="103"/>
      <c r="BE902" s="103"/>
    </row>
    <row r="903" spans="1:57" x14ac:dyDescent="0.25">
      <c r="A903" s="10" t="s">
        <v>8</v>
      </c>
      <c r="B903" s="155">
        <v>10285</v>
      </c>
      <c r="C903" s="10" t="s">
        <v>1271</v>
      </c>
      <c r="D903" s="10" t="s">
        <v>1237</v>
      </c>
      <c r="E903" s="195">
        <v>55.59</v>
      </c>
      <c r="F903" s="195">
        <v>12.86</v>
      </c>
      <c r="G903" s="30"/>
      <c r="H903" s="10" t="s">
        <v>150</v>
      </c>
      <c r="I903" s="10" t="s">
        <v>8</v>
      </c>
      <c r="J903" s="24" t="s">
        <v>8</v>
      </c>
      <c r="K903" s="10" t="s">
        <v>6</v>
      </c>
      <c r="L903" s="24" t="s">
        <v>2030</v>
      </c>
      <c r="M903" s="24" t="s">
        <v>717</v>
      </c>
      <c r="N903" s="22" t="s">
        <v>1315</v>
      </c>
      <c r="O903" s="22"/>
      <c r="P903" s="22"/>
      <c r="Q903" s="20" t="s">
        <v>2259</v>
      </c>
      <c r="R903" s="20"/>
      <c r="S903" s="20"/>
      <c r="T903" s="20"/>
      <c r="U903" s="22">
        <v>4</v>
      </c>
      <c r="V903" s="20" t="s">
        <v>160</v>
      </c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  <c r="AQ903" s="20"/>
      <c r="AR903" s="20"/>
      <c r="AS903" s="20"/>
      <c r="AT903" s="20"/>
      <c r="AU903" s="20"/>
      <c r="AV903" s="20"/>
      <c r="AW903" s="20"/>
      <c r="AX903" s="20"/>
      <c r="AY903" s="20"/>
      <c r="AZ903" s="20"/>
      <c r="BA903" s="20"/>
      <c r="BB903" s="20"/>
      <c r="BC903" s="20"/>
      <c r="BD903" s="20"/>
      <c r="BE903" s="20"/>
    </row>
    <row r="904" spans="1:57" x14ac:dyDescent="0.25">
      <c r="A904" s="9" t="s">
        <v>707</v>
      </c>
      <c r="B904" s="137" t="s">
        <v>485</v>
      </c>
      <c r="C904" s="23" t="s">
        <v>760</v>
      </c>
      <c r="D904" s="40" t="s">
        <v>486</v>
      </c>
      <c r="E904" s="46" t="s">
        <v>488</v>
      </c>
      <c r="F904" s="46" t="s">
        <v>487</v>
      </c>
      <c r="G904" s="40"/>
      <c r="H904" s="9" t="s">
        <v>150</v>
      </c>
      <c r="I904" s="41" t="s">
        <v>8</v>
      </c>
      <c r="J904" s="41" t="s">
        <v>8</v>
      </c>
      <c r="K904" s="40" t="s">
        <v>6</v>
      </c>
      <c r="L904" s="41" t="s">
        <v>2030</v>
      </c>
      <c r="M904" s="7" t="s">
        <v>2653</v>
      </c>
      <c r="N904" s="42" t="s">
        <v>1136</v>
      </c>
      <c r="O904" s="22"/>
      <c r="P904" s="42" t="s">
        <v>160</v>
      </c>
      <c r="Q904" s="44" t="s">
        <v>1137</v>
      </c>
      <c r="R904" s="44" t="s">
        <v>1614</v>
      </c>
      <c r="S904" s="19" t="s">
        <v>160</v>
      </c>
      <c r="T904" s="19" t="s">
        <v>160</v>
      </c>
      <c r="U904" s="19">
        <v>1</v>
      </c>
      <c r="V904" s="42" t="s">
        <v>160</v>
      </c>
      <c r="W904" s="42" t="s">
        <v>160</v>
      </c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2"/>
      <c r="AJ904" s="42"/>
      <c r="AK904" s="42"/>
      <c r="AL904" s="42"/>
      <c r="AM904" s="42"/>
      <c r="AN904" s="42"/>
      <c r="AO904" s="42"/>
      <c r="AP904" s="42"/>
      <c r="AQ904" s="42"/>
      <c r="AR904" s="42"/>
      <c r="AS904" s="42"/>
      <c r="AZ904" s="42"/>
      <c r="BA904" s="42"/>
      <c r="BB904" s="42"/>
      <c r="BC904" s="42"/>
      <c r="BD904" s="42"/>
      <c r="BE904" s="42"/>
    </row>
    <row r="905" spans="1:57" x14ac:dyDescent="0.25">
      <c r="A905" s="9" t="s">
        <v>707</v>
      </c>
      <c r="B905" s="39" t="s">
        <v>482</v>
      </c>
      <c r="C905" s="23" t="s">
        <v>760</v>
      </c>
      <c r="D905" s="40" t="s">
        <v>483</v>
      </c>
      <c r="E905" s="46" t="s">
        <v>2216</v>
      </c>
      <c r="F905" s="46" t="s">
        <v>2217</v>
      </c>
      <c r="G905" s="40"/>
      <c r="H905" s="9" t="s">
        <v>150</v>
      </c>
      <c r="I905" s="41" t="s">
        <v>484</v>
      </c>
      <c r="J905" s="41" t="s">
        <v>169</v>
      </c>
      <c r="K905" s="40" t="s">
        <v>5</v>
      </c>
      <c r="L905" s="41" t="s">
        <v>2043</v>
      </c>
      <c r="M905" s="7" t="s">
        <v>2653</v>
      </c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  <c r="AJ905" s="42"/>
      <c r="AK905" s="42"/>
      <c r="AL905" s="42"/>
      <c r="AM905" s="42"/>
      <c r="AN905" s="42"/>
      <c r="AO905" s="42"/>
      <c r="AP905" s="42"/>
      <c r="AQ905" s="42"/>
      <c r="AR905" s="42" t="s">
        <v>160</v>
      </c>
      <c r="AS905" s="42" t="s">
        <v>160</v>
      </c>
      <c r="AZ905" s="42"/>
      <c r="BA905" s="42"/>
      <c r="BB905" s="42"/>
      <c r="BC905" s="42"/>
      <c r="BD905" s="42"/>
      <c r="BE905" s="42"/>
    </row>
    <row r="906" spans="1:57" x14ac:dyDescent="0.25">
      <c r="A906" s="53" t="s">
        <v>2763</v>
      </c>
      <c r="B906" s="138">
        <v>2085</v>
      </c>
      <c r="C906" s="53" t="s">
        <v>760</v>
      </c>
      <c r="D906" s="53" t="s">
        <v>760</v>
      </c>
      <c r="E906" s="66">
        <f>57+16/60+17.717/3600</f>
        <v>57.271588055555554</v>
      </c>
      <c r="F906" s="66">
        <f>16+28/60+47.354/3600</f>
        <v>16.479820555555555</v>
      </c>
      <c r="G906" s="54"/>
      <c r="H906" s="9" t="s">
        <v>150</v>
      </c>
      <c r="I906" s="7" t="s">
        <v>8</v>
      </c>
      <c r="J906" s="53" t="s">
        <v>8</v>
      </c>
      <c r="K906" s="7" t="s">
        <v>6</v>
      </c>
      <c r="L906" s="7" t="s">
        <v>2030</v>
      </c>
      <c r="M906" s="7" t="s">
        <v>2653</v>
      </c>
      <c r="N906" s="42" t="s">
        <v>1136</v>
      </c>
      <c r="O906" s="22"/>
      <c r="P906" s="42" t="s">
        <v>160</v>
      </c>
      <c r="Q906" s="44" t="s">
        <v>1137</v>
      </c>
      <c r="R906" s="44" t="s">
        <v>1614</v>
      </c>
      <c r="S906" s="19" t="s">
        <v>160</v>
      </c>
      <c r="T906" s="19" t="s">
        <v>160</v>
      </c>
      <c r="U906" s="42">
        <v>1</v>
      </c>
      <c r="V906" s="20" t="s">
        <v>160</v>
      </c>
      <c r="W906" s="20" t="s">
        <v>160</v>
      </c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94" customFormat="1" x14ac:dyDescent="0.25">
      <c r="A907" s="105" t="s">
        <v>2773</v>
      </c>
      <c r="B907" s="139" t="s">
        <v>2809</v>
      </c>
      <c r="C907" s="110" t="s">
        <v>760</v>
      </c>
      <c r="D907" s="153" t="s">
        <v>760</v>
      </c>
      <c r="E907" s="81">
        <f>57+16/60+17.65/3600</f>
        <v>57.271569444444445</v>
      </c>
      <c r="F907" s="81">
        <f>16+28/60+47.72/3600</f>
        <v>16.479922222222221</v>
      </c>
      <c r="G907" s="81"/>
      <c r="H907" s="105" t="s">
        <v>150</v>
      </c>
      <c r="I907" s="105" t="s">
        <v>8</v>
      </c>
      <c r="J907" s="105" t="s">
        <v>8</v>
      </c>
      <c r="K907" s="105" t="s">
        <v>6</v>
      </c>
      <c r="L907" s="105" t="s">
        <v>2030</v>
      </c>
      <c r="M907" s="105" t="s">
        <v>2653</v>
      </c>
      <c r="N907" s="106" t="s">
        <v>1136</v>
      </c>
      <c r="O907" s="104"/>
      <c r="P907" s="106" t="s">
        <v>160</v>
      </c>
      <c r="Q907" s="107" t="s">
        <v>1137</v>
      </c>
      <c r="R907" s="107" t="s">
        <v>1614</v>
      </c>
      <c r="S907" s="108" t="s">
        <v>160</v>
      </c>
      <c r="T907" s="108" t="s">
        <v>160</v>
      </c>
      <c r="U907" s="106">
        <v>1</v>
      </c>
      <c r="V907" s="103" t="s">
        <v>160</v>
      </c>
      <c r="W907" s="103" t="s">
        <v>160</v>
      </c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  <c r="BD907" s="103"/>
      <c r="BE907" s="103"/>
    </row>
    <row r="908" spans="1:57" x14ac:dyDescent="0.25">
      <c r="A908" s="7" t="s">
        <v>8</v>
      </c>
      <c r="B908" s="142" t="s">
        <v>2938</v>
      </c>
      <c r="C908" s="23" t="s">
        <v>760</v>
      </c>
      <c r="D908" t="s">
        <v>760</v>
      </c>
      <c r="E908" s="193">
        <v>57.274900000000002</v>
      </c>
      <c r="F908" s="193">
        <v>16.477900000000002</v>
      </c>
      <c r="G908" s="43"/>
      <c r="H908" s="7" t="s">
        <v>150</v>
      </c>
      <c r="I908" s="7" t="s">
        <v>8</v>
      </c>
      <c r="J908" s="7" t="s">
        <v>8</v>
      </c>
      <c r="K908" s="7" t="s">
        <v>6</v>
      </c>
      <c r="L908" s="7" t="s">
        <v>2030</v>
      </c>
      <c r="M908" s="7" t="s">
        <v>2653</v>
      </c>
      <c r="N908" s="42" t="s">
        <v>1136</v>
      </c>
      <c r="O908" s="22"/>
      <c r="P908" s="42" t="s">
        <v>160</v>
      </c>
      <c r="Q908" s="44" t="s">
        <v>1137</v>
      </c>
      <c r="R908" s="44" t="s">
        <v>1614</v>
      </c>
      <c r="S908" s="19" t="s">
        <v>160</v>
      </c>
      <c r="T908" s="19" t="s">
        <v>160</v>
      </c>
      <c r="U908" s="42">
        <v>1</v>
      </c>
      <c r="V908" s="20" t="s">
        <v>160</v>
      </c>
      <c r="W908" s="20" t="s">
        <v>160</v>
      </c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  <c r="AQ908" s="20"/>
      <c r="AR908" s="20"/>
      <c r="AS908" s="20"/>
      <c r="AT908" s="20"/>
      <c r="AU908" s="20"/>
      <c r="AV908" s="20"/>
      <c r="AW908" s="20"/>
      <c r="AX908" s="20"/>
      <c r="AY908" s="20"/>
      <c r="AZ908" s="20"/>
      <c r="BA908" s="20"/>
      <c r="BB908" s="20"/>
      <c r="BC908" s="20"/>
      <c r="BD908" s="20"/>
      <c r="BE908" s="20"/>
    </row>
    <row r="909" spans="1:57" s="7" customFormat="1" x14ac:dyDescent="0.25">
      <c r="A909" s="9" t="s">
        <v>706</v>
      </c>
      <c r="B909" s="140">
        <v>156</v>
      </c>
      <c r="C909" s="23" t="s">
        <v>760</v>
      </c>
      <c r="D909" s="62" t="s">
        <v>87</v>
      </c>
      <c r="E909" s="35">
        <f>57+16/60+30/3600</f>
        <v>57.274999999999999</v>
      </c>
      <c r="F909" s="35">
        <f>16+28/60+41/3600</f>
        <v>16.478055555555553</v>
      </c>
      <c r="G909" s="43"/>
      <c r="H909" s="9" t="s">
        <v>150</v>
      </c>
      <c r="I909" s="7" t="s">
        <v>8</v>
      </c>
      <c r="J909" s="7" t="s">
        <v>8</v>
      </c>
      <c r="K909" s="9" t="s">
        <v>6</v>
      </c>
      <c r="L909" s="7" t="s">
        <v>2030</v>
      </c>
      <c r="M909" s="7" t="s">
        <v>2653</v>
      </c>
      <c r="N909" s="42" t="s">
        <v>1136</v>
      </c>
      <c r="O909" s="22"/>
      <c r="P909" s="42" t="s">
        <v>160</v>
      </c>
      <c r="Q909" s="44" t="s">
        <v>1137</v>
      </c>
      <c r="R909" s="44" t="s">
        <v>1614</v>
      </c>
      <c r="S909" s="19" t="s">
        <v>160</v>
      </c>
      <c r="T909" s="19" t="s">
        <v>160</v>
      </c>
      <c r="U909" s="19">
        <v>1</v>
      </c>
      <c r="V909" s="19" t="s">
        <v>160</v>
      </c>
      <c r="W909" s="19" t="s">
        <v>160</v>
      </c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  <c r="AU909" s="19"/>
      <c r="AV909" s="19"/>
      <c r="AW909" s="19"/>
      <c r="AX909" s="19"/>
      <c r="AY909" s="19"/>
      <c r="AZ909" s="19"/>
      <c r="BA909" s="19"/>
      <c r="BB909" s="19"/>
      <c r="BC909" s="19"/>
      <c r="BD909" s="19"/>
      <c r="BE909" s="19"/>
    </row>
    <row r="910" spans="1:57" s="94" customFormat="1" x14ac:dyDescent="0.25">
      <c r="A910" s="105" t="s">
        <v>2773</v>
      </c>
      <c r="B910" s="170" t="s">
        <v>2939</v>
      </c>
      <c r="C910" s="171" t="s">
        <v>2937</v>
      </c>
      <c r="D910" s="153" t="s">
        <v>2937</v>
      </c>
      <c r="E910" s="148">
        <f>57+15.9763/60</f>
        <v>57.266271666666668</v>
      </c>
      <c r="F910" s="148">
        <f>16+28.5675/60</f>
        <v>16.476125</v>
      </c>
      <c r="G910" s="113"/>
      <c r="H910" s="105" t="s">
        <v>150</v>
      </c>
      <c r="I910" s="113" t="s">
        <v>169</v>
      </c>
      <c r="J910" s="113" t="s">
        <v>169</v>
      </c>
      <c r="K910" s="113" t="s">
        <v>5</v>
      </c>
      <c r="L910" s="113" t="s">
        <v>2043</v>
      </c>
      <c r="M910" s="105" t="s">
        <v>2653</v>
      </c>
      <c r="N910" s="108"/>
      <c r="O910" s="108"/>
      <c r="P910" s="108"/>
      <c r="Q910" s="108"/>
      <c r="R910" s="108"/>
      <c r="S910" s="108"/>
      <c r="T910" s="108"/>
      <c r="U910" s="108"/>
      <c r="V910" s="106"/>
      <c r="W910" s="106"/>
      <c r="X910" s="106"/>
      <c r="Y910" s="106"/>
      <c r="Z910" s="106"/>
      <c r="AA910" s="106"/>
      <c r="AB910" s="106"/>
      <c r="AC910" s="106"/>
      <c r="AD910" s="106"/>
      <c r="AE910" s="106"/>
      <c r="AF910" s="106"/>
      <c r="AG910" s="106"/>
      <c r="AH910" s="106"/>
      <c r="AI910" s="106"/>
      <c r="AJ910" s="106"/>
      <c r="AK910" s="106"/>
      <c r="AL910" s="106"/>
      <c r="AM910" s="106"/>
      <c r="AN910" s="106"/>
      <c r="AO910" s="106"/>
      <c r="AP910" s="106"/>
      <c r="AQ910" s="106"/>
      <c r="AR910" s="106" t="s">
        <v>160</v>
      </c>
      <c r="AS910" s="106" t="s">
        <v>160</v>
      </c>
      <c r="AT910" s="108"/>
      <c r="AU910" s="108"/>
      <c r="AV910" s="108"/>
      <c r="AW910" s="108"/>
      <c r="AX910" s="108"/>
      <c r="AY910" s="108"/>
      <c r="AZ910" s="106"/>
      <c r="BA910" s="106"/>
      <c r="BB910" s="106"/>
      <c r="BC910" s="106"/>
      <c r="BD910" s="106"/>
      <c r="BE910" s="106"/>
    </row>
    <row r="911" spans="1:57" x14ac:dyDescent="0.25">
      <c r="A911" s="7" t="s">
        <v>8</v>
      </c>
      <c r="B911" s="58" t="s">
        <v>875</v>
      </c>
      <c r="C911" s="45" t="s">
        <v>2937</v>
      </c>
      <c r="D911" s="41" t="s">
        <v>760</v>
      </c>
      <c r="E911" s="3">
        <f>57+15.9763/60</f>
        <v>57.266271666666668</v>
      </c>
      <c r="F911" s="46">
        <f>16+28.5675/60</f>
        <v>16.476125</v>
      </c>
      <c r="G911" s="41"/>
      <c r="H911" s="7" t="s">
        <v>150</v>
      </c>
      <c r="I911" s="41" t="s">
        <v>169</v>
      </c>
      <c r="J911" s="41" t="s">
        <v>169</v>
      </c>
      <c r="K911" s="41" t="s">
        <v>5</v>
      </c>
      <c r="L911" s="41" t="s">
        <v>2043</v>
      </c>
      <c r="M911" s="7" t="s">
        <v>2653</v>
      </c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2"/>
      <c r="AJ911" s="42"/>
      <c r="AK911" s="42"/>
      <c r="AL911" s="42"/>
      <c r="AM911" s="42"/>
      <c r="AN911" s="42"/>
      <c r="AO911" s="42"/>
      <c r="AP911" s="42"/>
      <c r="AQ911" s="42"/>
      <c r="AR911" s="42" t="s">
        <v>160</v>
      </c>
      <c r="AS911" s="42" t="s">
        <v>160</v>
      </c>
      <c r="AZ911" s="42"/>
      <c r="BA911" s="42"/>
      <c r="BB911" s="42"/>
      <c r="BC911" s="42"/>
      <c r="BD911" s="42"/>
      <c r="BE911" s="42"/>
    </row>
    <row r="912" spans="1:57" x14ac:dyDescent="0.25">
      <c r="A912" s="9" t="s">
        <v>706</v>
      </c>
      <c r="B912" s="38">
        <v>72</v>
      </c>
      <c r="C912" s="56" t="s">
        <v>2937</v>
      </c>
      <c r="D912" s="62" t="s">
        <v>2611</v>
      </c>
      <c r="E912" s="5">
        <f>57+15/60+58/3600</f>
        <v>57.266111111111108</v>
      </c>
      <c r="F912" s="5">
        <f>16+28/60+34/3600</f>
        <v>16.476111111111109</v>
      </c>
      <c r="H912" s="9" t="s">
        <v>150</v>
      </c>
      <c r="I912" s="41" t="s">
        <v>484</v>
      </c>
      <c r="J912" s="41" t="s">
        <v>169</v>
      </c>
      <c r="K912" s="9" t="s">
        <v>5</v>
      </c>
      <c r="L912" s="7" t="s">
        <v>2043</v>
      </c>
      <c r="M912" s="7" t="s">
        <v>2653</v>
      </c>
      <c r="AR912" s="19" t="s">
        <v>160</v>
      </c>
      <c r="AS912" s="19" t="s">
        <v>160</v>
      </c>
      <c r="BB912" s="19"/>
      <c r="BC912" s="19"/>
      <c r="BD912" s="19"/>
      <c r="BE912" s="19"/>
    </row>
    <row r="913" spans="1:57" x14ac:dyDescent="0.25">
      <c r="A913" s="6" t="s">
        <v>8</v>
      </c>
      <c r="B913" s="9">
        <v>76160</v>
      </c>
      <c r="C913" s="9" t="s">
        <v>2237</v>
      </c>
      <c r="D913" s="9" t="s">
        <v>760</v>
      </c>
      <c r="E913" s="3">
        <v>57.267000000000003</v>
      </c>
      <c r="F913" s="3">
        <v>16.4114</v>
      </c>
      <c r="G913" s="9">
        <v>12.071999999999999</v>
      </c>
      <c r="H913" s="3"/>
      <c r="I913" s="21" t="s">
        <v>8</v>
      </c>
      <c r="J913" s="21" t="s">
        <v>8</v>
      </c>
      <c r="K913" s="3" t="s">
        <v>5</v>
      </c>
      <c r="L913" s="5" t="s">
        <v>2028</v>
      </c>
      <c r="M913" s="5" t="s">
        <v>2653</v>
      </c>
      <c r="N913" s="19" t="s">
        <v>2388</v>
      </c>
      <c r="O913" s="22"/>
      <c r="P913" s="19" t="s">
        <v>160</v>
      </c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  <c r="AQ913" s="29"/>
      <c r="AR913" s="29"/>
      <c r="AS913" s="29"/>
      <c r="AT913" s="19" t="s">
        <v>160</v>
      </c>
      <c r="AU913" s="19" t="s">
        <v>160</v>
      </c>
      <c r="BB913" s="19"/>
      <c r="BC913" s="19"/>
      <c r="BD913" s="19"/>
      <c r="BE913" s="19"/>
    </row>
    <row r="914" spans="1:57" x14ac:dyDescent="0.25">
      <c r="A914" s="9" t="s">
        <v>8</v>
      </c>
      <c r="B914" s="26">
        <v>35059</v>
      </c>
      <c r="C914" s="24" t="s">
        <v>1076</v>
      </c>
      <c r="D914" s="24" t="s">
        <v>1692</v>
      </c>
      <c r="E914" s="25">
        <f>57+26/60</f>
        <v>57.43333333333333</v>
      </c>
      <c r="F914" s="25">
        <f>19+17/60</f>
        <v>19.283333333333335</v>
      </c>
      <c r="G914" s="9"/>
      <c r="H914" s="9" t="s">
        <v>150</v>
      </c>
      <c r="I914" s="9" t="s">
        <v>8</v>
      </c>
      <c r="J914" s="7" t="s">
        <v>8</v>
      </c>
      <c r="K914" s="10" t="s">
        <v>951</v>
      </c>
      <c r="L914" s="7" t="s">
        <v>2044</v>
      </c>
      <c r="M914" s="7" t="s">
        <v>717</v>
      </c>
      <c r="N914" s="42">
        <v>1986</v>
      </c>
      <c r="O914" s="22"/>
      <c r="P914" s="42" t="s">
        <v>160</v>
      </c>
      <c r="S914" s="42" t="s">
        <v>160</v>
      </c>
      <c r="T914" s="19" t="s">
        <v>160</v>
      </c>
      <c r="U914" s="42"/>
      <c r="AN914" s="19" t="s">
        <v>160</v>
      </c>
      <c r="BB914" s="19"/>
      <c r="BC914" s="19"/>
      <c r="BD914" s="19"/>
      <c r="BE914" s="19"/>
    </row>
    <row r="915" spans="1:57" x14ac:dyDescent="0.25">
      <c r="A915" s="6" t="s">
        <v>8</v>
      </c>
      <c r="B915" s="9">
        <v>78280</v>
      </c>
      <c r="C915" s="9" t="s">
        <v>2019</v>
      </c>
      <c r="D915" s="9" t="s">
        <v>1692</v>
      </c>
      <c r="E915" s="3">
        <v>57.45</v>
      </c>
      <c r="F915" s="3">
        <v>18.9833</v>
      </c>
      <c r="G915" s="9">
        <v>11</v>
      </c>
      <c r="H915" s="9" t="s">
        <v>150</v>
      </c>
      <c r="I915" s="6" t="s">
        <v>8</v>
      </c>
      <c r="J915" s="21" t="s">
        <v>8</v>
      </c>
      <c r="K915" s="3" t="s">
        <v>5</v>
      </c>
      <c r="L915" s="5" t="s">
        <v>174</v>
      </c>
      <c r="M915" s="5" t="s">
        <v>717</v>
      </c>
      <c r="N915" s="19" t="s">
        <v>2595</v>
      </c>
      <c r="O915" s="22"/>
      <c r="P915" s="19" t="s">
        <v>160</v>
      </c>
      <c r="AR915" s="29"/>
      <c r="AS915" s="29"/>
      <c r="AT915" s="29"/>
      <c r="AU915" s="29"/>
      <c r="AV915" s="29" t="s">
        <v>160</v>
      </c>
      <c r="BB915" s="19"/>
      <c r="BC915" s="19"/>
      <c r="BD915" s="19"/>
      <c r="BE915" s="19"/>
    </row>
    <row r="916" spans="1:57" x14ac:dyDescent="0.25">
      <c r="A916" s="6" t="s">
        <v>8</v>
      </c>
      <c r="B916" s="9">
        <v>78280</v>
      </c>
      <c r="C916" s="9" t="s">
        <v>1485</v>
      </c>
      <c r="D916" s="9" t="s">
        <v>1486</v>
      </c>
      <c r="E916" s="3">
        <v>57.440800000000003</v>
      </c>
      <c r="F916" s="3">
        <v>18.983899999999998</v>
      </c>
      <c r="G916" s="9">
        <v>8.1270000000000007</v>
      </c>
      <c r="H916" s="9" t="s">
        <v>150</v>
      </c>
      <c r="I916" s="21" t="s">
        <v>8</v>
      </c>
      <c r="J916" s="21" t="s">
        <v>8</v>
      </c>
      <c r="K916" s="3" t="s">
        <v>5</v>
      </c>
      <c r="L916" s="5" t="s">
        <v>2681</v>
      </c>
      <c r="M916" s="7" t="s">
        <v>2653</v>
      </c>
      <c r="N916" s="19" t="s">
        <v>2520</v>
      </c>
      <c r="O916" s="22"/>
      <c r="P916" s="19" t="s">
        <v>160</v>
      </c>
      <c r="AR916" s="19" t="s">
        <v>160</v>
      </c>
      <c r="AS916" s="19" t="s">
        <v>160</v>
      </c>
      <c r="AT916" s="19" t="s">
        <v>160</v>
      </c>
      <c r="AU916" s="19" t="s">
        <v>160</v>
      </c>
      <c r="AX916" s="19" t="s">
        <v>160</v>
      </c>
      <c r="AY916" s="19" t="s">
        <v>160</v>
      </c>
      <c r="AZ916" s="19" t="s">
        <v>160</v>
      </c>
      <c r="BA916" s="19" t="s">
        <v>160</v>
      </c>
      <c r="BB916" s="19"/>
      <c r="BC916" s="19"/>
      <c r="BD916" s="19"/>
      <c r="BE916" s="19"/>
    </row>
    <row r="917" spans="1:57" s="94" customFormat="1" x14ac:dyDescent="0.25">
      <c r="A917" s="98" t="s">
        <v>2773</v>
      </c>
      <c r="B917" s="135">
        <v>2094</v>
      </c>
      <c r="C917" s="98" t="s">
        <v>1270</v>
      </c>
      <c r="D917" s="98" t="s">
        <v>1234</v>
      </c>
      <c r="E917" s="189">
        <f>55+20/60+24/3600</f>
        <v>55.34</v>
      </c>
      <c r="F917" s="189">
        <f>13+22/60+12/3600</f>
        <v>13.370000000000001</v>
      </c>
      <c r="G917" s="101"/>
      <c r="H917" s="98" t="s">
        <v>150</v>
      </c>
      <c r="I917" s="98" t="s">
        <v>8</v>
      </c>
      <c r="J917" s="102" t="s">
        <v>8</v>
      </c>
      <c r="K917" s="98" t="s">
        <v>6</v>
      </c>
      <c r="L917" s="102" t="s">
        <v>2030</v>
      </c>
      <c r="M917" s="102" t="s">
        <v>717</v>
      </c>
      <c r="N917" s="104" t="s">
        <v>1312</v>
      </c>
      <c r="O917" s="104"/>
      <c r="P917" s="104"/>
      <c r="Q917" s="103" t="s">
        <v>1645</v>
      </c>
      <c r="R917" s="103"/>
      <c r="S917" s="103"/>
      <c r="T917" s="103"/>
      <c r="U917" s="104">
        <v>4</v>
      </c>
      <c r="V917" s="103" t="s">
        <v>160</v>
      </c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  <c r="BD917" s="103"/>
      <c r="BE917" s="103"/>
    </row>
    <row r="918" spans="1:57" x14ac:dyDescent="0.25">
      <c r="A918" s="10" t="s">
        <v>8</v>
      </c>
      <c r="B918" s="155">
        <v>2094</v>
      </c>
      <c r="C918" s="10" t="s">
        <v>1270</v>
      </c>
      <c r="D918" s="10" t="s">
        <v>1234</v>
      </c>
      <c r="E918" s="195">
        <v>55.34</v>
      </c>
      <c r="F918" s="195">
        <v>13.37</v>
      </c>
      <c r="G918" s="30"/>
      <c r="H918" s="10" t="s">
        <v>150</v>
      </c>
      <c r="I918" s="10" t="s">
        <v>8</v>
      </c>
      <c r="J918" s="24" t="s">
        <v>8</v>
      </c>
      <c r="K918" s="10" t="s">
        <v>6</v>
      </c>
      <c r="L918" s="24" t="s">
        <v>2030</v>
      </c>
      <c r="M918" s="24" t="s">
        <v>717</v>
      </c>
      <c r="N918" s="22" t="s">
        <v>1312</v>
      </c>
      <c r="O918" s="22"/>
      <c r="P918" s="22"/>
      <c r="Q918" s="20" t="s">
        <v>1645</v>
      </c>
      <c r="R918" s="20"/>
      <c r="S918" s="20"/>
      <c r="T918" s="20"/>
      <c r="U918" s="22">
        <v>4</v>
      </c>
      <c r="V918" s="20" t="s">
        <v>160</v>
      </c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  <c r="AQ918" s="20"/>
      <c r="AR918" s="20"/>
      <c r="AS918" s="20"/>
      <c r="AT918" s="20"/>
      <c r="AU918" s="20"/>
      <c r="AV918" s="20"/>
      <c r="AW918" s="20"/>
      <c r="AX918" s="20"/>
      <c r="AY918" s="20"/>
      <c r="AZ918" s="20"/>
      <c r="BA918" s="20"/>
      <c r="BB918" s="20"/>
      <c r="BC918" s="20"/>
      <c r="BD918" s="20"/>
      <c r="BE918" s="20"/>
    </row>
    <row r="919" spans="1:57" x14ac:dyDescent="0.25">
      <c r="A919" s="6" t="s">
        <v>8</v>
      </c>
      <c r="B919" s="9">
        <v>86700</v>
      </c>
      <c r="C919" s="9" t="s">
        <v>2407</v>
      </c>
      <c r="D919" s="9" t="s">
        <v>1487</v>
      </c>
      <c r="E919" s="3">
        <v>58.35</v>
      </c>
      <c r="F919" s="3">
        <v>16.833300000000001</v>
      </c>
      <c r="G919" s="9">
        <v>5</v>
      </c>
      <c r="H919" s="3" t="s">
        <v>150</v>
      </c>
      <c r="I919" s="6" t="s">
        <v>8</v>
      </c>
      <c r="J919" s="21" t="s">
        <v>8</v>
      </c>
      <c r="K919" s="3" t="s">
        <v>5</v>
      </c>
      <c r="L919" s="5" t="s">
        <v>2028</v>
      </c>
      <c r="M919" s="5" t="s">
        <v>717</v>
      </c>
      <c r="N919" s="19" t="s">
        <v>2520</v>
      </c>
      <c r="O919" s="22"/>
      <c r="P919" s="19" t="s">
        <v>160</v>
      </c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  <c r="AQ919" s="29"/>
      <c r="AR919" s="29"/>
      <c r="AS919" s="29"/>
      <c r="AT919" s="19" t="s">
        <v>160</v>
      </c>
      <c r="BB919" s="19"/>
      <c r="BC919" s="19"/>
      <c r="BD919" s="19"/>
      <c r="BE919" s="19"/>
    </row>
    <row r="920" spans="1:57" s="94" customFormat="1" x14ac:dyDescent="0.25">
      <c r="A920" s="98" t="s">
        <v>2773</v>
      </c>
      <c r="B920" s="135">
        <v>2075</v>
      </c>
      <c r="C920" s="98" t="s">
        <v>2284</v>
      </c>
      <c r="D920" s="98" t="s">
        <v>1223</v>
      </c>
      <c r="E920" s="189">
        <f>58+39/60+36/3600</f>
        <v>58.66</v>
      </c>
      <c r="F920" s="189">
        <f>17+7/60+12/3600</f>
        <v>17.12</v>
      </c>
      <c r="G920" s="101"/>
      <c r="H920" s="98" t="s">
        <v>150</v>
      </c>
      <c r="I920" s="98" t="s">
        <v>8</v>
      </c>
      <c r="J920" s="102" t="s">
        <v>8</v>
      </c>
      <c r="K920" s="98" t="s">
        <v>6</v>
      </c>
      <c r="L920" s="102" t="s">
        <v>2030</v>
      </c>
      <c r="M920" s="102" t="s">
        <v>717</v>
      </c>
      <c r="N920" s="104" t="s">
        <v>1298</v>
      </c>
      <c r="O920" s="104"/>
      <c r="P920" s="104"/>
      <c r="Q920" s="107" t="s">
        <v>1162</v>
      </c>
      <c r="R920" s="103"/>
      <c r="S920" s="103"/>
      <c r="T920" s="103"/>
      <c r="U920" s="104">
        <v>4</v>
      </c>
      <c r="V920" s="103" t="s">
        <v>160</v>
      </c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  <c r="BD920" s="103"/>
      <c r="BE920" s="103"/>
    </row>
    <row r="921" spans="1:57" x14ac:dyDescent="0.25">
      <c r="A921" s="6" t="s">
        <v>8</v>
      </c>
      <c r="B921" s="9">
        <v>87400</v>
      </c>
      <c r="C921" s="9" t="s">
        <v>2238</v>
      </c>
      <c r="D921" s="9" t="s">
        <v>1223</v>
      </c>
      <c r="E921" s="181">
        <v>58.66</v>
      </c>
      <c r="F921" s="181">
        <v>17.12</v>
      </c>
      <c r="G921" s="9">
        <v>7.1539999999999999</v>
      </c>
      <c r="H921" s="3" t="s">
        <v>150</v>
      </c>
      <c r="I921" s="21" t="s">
        <v>8</v>
      </c>
      <c r="J921" s="21" t="s">
        <v>8</v>
      </c>
      <c r="K921" s="3" t="s">
        <v>5</v>
      </c>
      <c r="L921" s="5" t="s">
        <v>2028</v>
      </c>
      <c r="M921" s="5" t="s">
        <v>2653</v>
      </c>
      <c r="N921" s="19" t="s">
        <v>2388</v>
      </c>
      <c r="O921" s="22"/>
      <c r="P921" s="19" t="s">
        <v>160</v>
      </c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  <c r="AQ921" s="29"/>
      <c r="AR921" s="29"/>
      <c r="AS921" s="29"/>
      <c r="AT921" s="19" t="s">
        <v>160</v>
      </c>
      <c r="AU921" s="19" t="s">
        <v>160</v>
      </c>
      <c r="BB921" s="19"/>
      <c r="BC921" s="19"/>
      <c r="BD921" s="19"/>
      <c r="BE921" s="19"/>
    </row>
    <row r="922" spans="1:57" x14ac:dyDescent="0.25">
      <c r="A922" s="9" t="s">
        <v>707</v>
      </c>
      <c r="B922" s="137" t="s">
        <v>489</v>
      </c>
      <c r="C922" s="23" t="s">
        <v>2649</v>
      </c>
      <c r="D922" s="51" t="s">
        <v>2652</v>
      </c>
      <c r="E922" s="57" t="s">
        <v>491</v>
      </c>
      <c r="F922" s="57" t="s">
        <v>490</v>
      </c>
      <c r="G922" s="40"/>
      <c r="H922" s="9" t="s">
        <v>150</v>
      </c>
      <c r="I922" s="41" t="s">
        <v>169</v>
      </c>
      <c r="J922" s="41" t="s">
        <v>169</v>
      </c>
      <c r="K922" s="40" t="s">
        <v>6</v>
      </c>
      <c r="L922" s="41" t="s">
        <v>2031</v>
      </c>
      <c r="M922" s="7" t="s">
        <v>2653</v>
      </c>
      <c r="N922" s="42" t="s">
        <v>1108</v>
      </c>
      <c r="O922" s="42" t="s">
        <v>160</v>
      </c>
      <c r="P922" s="42" t="s">
        <v>160</v>
      </c>
      <c r="Q922" s="44" t="s">
        <v>1162</v>
      </c>
      <c r="S922" s="19" t="s">
        <v>160</v>
      </c>
      <c r="T922" s="19" t="s">
        <v>160</v>
      </c>
      <c r="U922" s="19">
        <v>2</v>
      </c>
      <c r="V922" s="42" t="s">
        <v>160</v>
      </c>
      <c r="W922" s="42" t="s">
        <v>160</v>
      </c>
      <c r="X922" s="42" t="s">
        <v>160</v>
      </c>
      <c r="Y922" s="42" t="s">
        <v>160</v>
      </c>
      <c r="Z922" s="42"/>
      <c r="AA922" s="42"/>
      <c r="AB922" s="42"/>
      <c r="AC922" s="42"/>
      <c r="AD922" s="42"/>
      <c r="AE922" s="42"/>
      <c r="AF922" s="42"/>
      <c r="AG922" s="42"/>
      <c r="AH922" s="42"/>
      <c r="AI922" s="42"/>
      <c r="AJ922" s="42"/>
      <c r="AK922" s="42"/>
      <c r="AL922" s="42"/>
      <c r="AM922" s="42"/>
      <c r="AN922" s="42"/>
      <c r="AO922" s="42"/>
      <c r="AP922" s="42"/>
      <c r="AQ922" s="42"/>
      <c r="AR922" s="42"/>
      <c r="AS922" s="42"/>
      <c r="AZ922" s="42"/>
      <c r="BA922" s="42"/>
      <c r="BB922" s="42"/>
      <c r="BC922" s="42"/>
      <c r="BD922" s="42"/>
      <c r="BE922" s="42"/>
    </row>
    <row r="923" spans="1:57" x14ac:dyDescent="0.25">
      <c r="A923" s="53" t="s">
        <v>2763</v>
      </c>
      <c r="B923" s="143">
        <v>35118</v>
      </c>
      <c r="C923" s="85" t="s">
        <v>2649</v>
      </c>
      <c r="D923" s="85" t="s">
        <v>2651</v>
      </c>
      <c r="E923" s="47">
        <f>58+39/60+42.044/3600</f>
        <v>58.661678888888886</v>
      </c>
      <c r="F923" s="47">
        <f>17+7/60+29.158/3600</f>
        <v>17.124766111111111</v>
      </c>
      <c r="G923" s="85">
        <v>1.53</v>
      </c>
      <c r="H923" s="9" t="s">
        <v>150</v>
      </c>
      <c r="I923" s="14" t="s">
        <v>169</v>
      </c>
      <c r="J923" s="85" t="s">
        <v>169</v>
      </c>
      <c r="K923" s="7" t="s">
        <v>6</v>
      </c>
      <c r="L923" s="7" t="s">
        <v>2031</v>
      </c>
      <c r="M923" s="7" t="s">
        <v>2653</v>
      </c>
      <c r="N923" s="42" t="s">
        <v>1108</v>
      </c>
      <c r="O923" s="42" t="s">
        <v>160</v>
      </c>
      <c r="P923" s="42" t="s">
        <v>160</v>
      </c>
      <c r="Q923" s="44" t="s">
        <v>1162</v>
      </c>
      <c r="S923" s="19" t="s">
        <v>160</v>
      </c>
      <c r="T923" s="19" t="s">
        <v>160</v>
      </c>
      <c r="U923" s="42">
        <v>2</v>
      </c>
      <c r="V923" s="20" t="s">
        <v>160</v>
      </c>
      <c r="W923" s="20" t="s">
        <v>160</v>
      </c>
      <c r="X923" s="20" t="s">
        <v>160</v>
      </c>
      <c r="Y923" s="20" t="s">
        <v>160</v>
      </c>
      <c r="Z923" s="85"/>
      <c r="AA923" s="85"/>
      <c r="AB923" s="85"/>
      <c r="AC923" s="85"/>
      <c r="AD923" s="85"/>
      <c r="AE923" s="85"/>
      <c r="AF923" s="85"/>
      <c r="AG923" s="85"/>
      <c r="AH923" s="85"/>
      <c r="AI923" s="85"/>
      <c r="AJ923" s="85"/>
      <c r="AK923" s="85"/>
      <c r="AL923" s="85"/>
      <c r="AM923" s="85"/>
      <c r="AN923" s="85"/>
      <c r="AO923" s="85"/>
      <c r="AP923" s="85"/>
      <c r="AQ923" s="85"/>
      <c r="AR923" s="85"/>
      <c r="AS923" s="85"/>
      <c r="AT923" s="85"/>
      <c r="AU923" s="85"/>
      <c r="AV923" s="85"/>
      <c r="AW923" s="85"/>
      <c r="AX923" s="85"/>
      <c r="AY923" s="85"/>
      <c r="AZ923" s="85"/>
      <c r="BA923" s="85"/>
      <c r="BB923" s="85"/>
      <c r="BC923" s="85"/>
      <c r="BD923" s="85"/>
      <c r="BE923" s="85"/>
    </row>
    <row r="924" spans="1:57" s="94" customFormat="1" x14ac:dyDescent="0.25">
      <c r="A924" s="105" t="s">
        <v>2773</v>
      </c>
      <c r="B924" s="139" t="s">
        <v>2936</v>
      </c>
      <c r="C924" s="110" t="s">
        <v>2649</v>
      </c>
      <c r="D924" s="153" t="s">
        <v>2651</v>
      </c>
      <c r="E924" s="82">
        <f>58+39/60+42.012/3600</f>
        <v>58.661670000000001</v>
      </c>
      <c r="F924" s="82">
        <f>17+7/60+29.1/3600</f>
        <v>17.124749999999999</v>
      </c>
      <c r="G924" s="178">
        <v>1.53</v>
      </c>
      <c r="H924" s="105" t="s">
        <v>150</v>
      </c>
      <c r="I924" s="105" t="s">
        <v>169</v>
      </c>
      <c r="J924" s="105" t="s">
        <v>169</v>
      </c>
      <c r="K924" s="105" t="s">
        <v>6</v>
      </c>
      <c r="L924" s="105" t="s">
        <v>2031</v>
      </c>
      <c r="M924" s="105" t="s">
        <v>2653</v>
      </c>
      <c r="N924" s="106" t="s">
        <v>1108</v>
      </c>
      <c r="O924" s="106" t="s">
        <v>160</v>
      </c>
      <c r="P924" s="106" t="s">
        <v>160</v>
      </c>
      <c r="Q924" s="107" t="s">
        <v>1162</v>
      </c>
      <c r="R924" s="108"/>
      <c r="S924" s="108" t="s">
        <v>160</v>
      </c>
      <c r="T924" s="108" t="s">
        <v>160</v>
      </c>
      <c r="U924" s="106">
        <v>2</v>
      </c>
      <c r="V924" s="103" t="s">
        <v>160</v>
      </c>
      <c r="W924" s="103" t="s">
        <v>160</v>
      </c>
      <c r="X924" s="103" t="s">
        <v>160</v>
      </c>
      <c r="Y924" s="103" t="s">
        <v>160</v>
      </c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  <c r="BD924" s="103"/>
      <c r="BE924" s="103"/>
    </row>
    <row r="925" spans="1:57" x14ac:dyDescent="0.25">
      <c r="A925" s="7" t="s">
        <v>8</v>
      </c>
      <c r="B925" s="142">
        <v>35118</v>
      </c>
      <c r="C925" s="23" t="s">
        <v>2649</v>
      </c>
      <c r="D925" s="23" t="s">
        <v>2651</v>
      </c>
      <c r="E925" s="193">
        <v>58.661700000000003</v>
      </c>
      <c r="F925" s="193">
        <v>17.124700000000001</v>
      </c>
      <c r="G925" s="43"/>
      <c r="H925" s="7" t="s">
        <v>150</v>
      </c>
      <c r="I925" s="7" t="s">
        <v>169</v>
      </c>
      <c r="J925" s="7" t="s">
        <v>169</v>
      </c>
      <c r="K925" s="7" t="s">
        <v>6</v>
      </c>
      <c r="L925" s="7" t="s">
        <v>2031</v>
      </c>
      <c r="M925" s="7" t="s">
        <v>2653</v>
      </c>
      <c r="N925" s="42" t="s">
        <v>1108</v>
      </c>
      <c r="O925" s="42" t="s">
        <v>160</v>
      </c>
      <c r="P925" s="42" t="s">
        <v>160</v>
      </c>
      <c r="Q925" s="44" t="s">
        <v>1162</v>
      </c>
      <c r="S925" s="19" t="s">
        <v>160</v>
      </c>
      <c r="T925" s="19" t="s">
        <v>160</v>
      </c>
      <c r="U925" s="42">
        <v>2</v>
      </c>
      <c r="V925" s="20" t="s">
        <v>160</v>
      </c>
      <c r="W925" s="20" t="s">
        <v>160</v>
      </c>
      <c r="X925" s="20" t="s">
        <v>160</v>
      </c>
      <c r="Y925" s="20" t="s">
        <v>160</v>
      </c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  <c r="AQ925" s="20"/>
      <c r="AR925" s="20"/>
      <c r="AS925" s="20"/>
      <c r="AT925" s="20"/>
      <c r="AU925" s="20"/>
      <c r="AV925" s="20"/>
      <c r="AW925" s="20"/>
      <c r="AX925" s="20"/>
      <c r="AY925" s="20"/>
      <c r="AZ925" s="20"/>
      <c r="BA925" s="20"/>
      <c r="BB925" s="20"/>
      <c r="BC925" s="20"/>
      <c r="BD925" s="20"/>
      <c r="BE925" s="20"/>
    </row>
    <row r="926" spans="1:57" x14ac:dyDescent="0.25">
      <c r="A926" s="9" t="s">
        <v>706</v>
      </c>
      <c r="B926" s="140">
        <v>188</v>
      </c>
      <c r="C926" s="23" t="s">
        <v>2649</v>
      </c>
      <c r="D926" s="62" t="s">
        <v>2651</v>
      </c>
      <c r="E926" s="3">
        <f>58+39/60+42/3600</f>
        <v>58.661666666666662</v>
      </c>
      <c r="F926" s="3">
        <f>17+7/60+29/3600</f>
        <v>17.124722222222221</v>
      </c>
      <c r="H926" s="9" t="s">
        <v>150</v>
      </c>
      <c r="I926" s="7" t="s">
        <v>169</v>
      </c>
      <c r="J926" s="7" t="s">
        <v>169</v>
      </c>
      <c r="K926" s="9" t="s">
        <v>6</v>
      </c>
      <c r="L926" s="7" t="s">
        <v>2031</v>
      </c>
      <c r="M926" s="7" t="s">
        <v>2653</v>
      </c>
      <c r="N926" s="42" t="s">
        <v>1108</v>
      </c>
      <c r="O926" s="42" t="s">
        <v>160</v>
      </c>
      <c r="P926" s="42" t="s">
        <v>160</v>
      </c>
      <c r="Q926" s="44" t="s">
        <v>1162</v>
      </c>
      <c r="S926" s="19" t="s">
        <v>160</v>
      </c>
      <c r="T926" s="19" t="s">
        <v>160</v>
      </c>
      <c r="U926" s="19">
        <v>2</v>
      </c>
      <c r="V926" s="19" t="s">
        <v>160</v>
      </c>
      <c r="W926" s="19" t="s">
        <v>160</v>
      </c>
      <c r="X926" s="19" t="s">
        <v>160</v>
      </c>
      <c r="Y926" s="19" t="s">
        <v>160</v>
      </c>
      <c r="BB926" s="19"/>
      <c r="BC926" s="19"/>
      <c r="BD926" s="19"/>
      <c r="BE926" s="19"/>
    </row>
    <row r="927" spans="1:57" s="105" customFormat="1" x14ac:dyDescent="0.25">
      <c r="A927" s="9" t="s">
        <v>707</v>
      </c>
      <c r="B927" s="39" t="s">
        <v>665</v>
      </c>
      <c r="C927" s="39" t="s">
        <v>869</v>
      </c>
      <c r="D927" s="51" t="s">
        <v>2650</v>
      </c>
      <c r="E927" s="46" t="s">
        <v>2144</v>
      </c>
      <c r="F927" s="46" t="s">
        <v>2145</v>
      </c>
      <c r="G927" s="40"/>
      <c r="H927" s="9" t="s">
        <v>150</v>
      </c>
      <c r="I927" s="41" t="s">
        <v>169</v>
      </c>
      <c r="J927" s="41" t="s">
        <v>169</v>
      </c>
      <c r="K927" s="40" t="s">
        <v>5</v>
      </c>
      <c r="L927" s="41" t="s">
        <v>2056</v>
      </c>
      <c r="M927" s="7" t="s">
        <v>2653</v>
      </c>
      <c r="N927" s="42"/>
      <c r="O927" s="42"/>
      <c r="P927" s="42"/>
      <c r="Q927" s="19"/>
      <c r="R927" s="19"/>
      <c r="S927" s="19"/>
      <c r="T927" s="19"/>
      <c r="U927" s="19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2"/>
      <c r="AJ927" s="42"/>
      <c r="AK927" s="42"/>
      <c r="AL927" s="42"/>
      <c r="AM927" s="42"/>
      <c r="AN927" s="42"/>
      <c r="AO927" s="42"/>
      <c r="AP927" s="42"/>
      <c r="AQ927" s="42"/>
      <c r="AR927" s="42" t="s">
        <v>160</v>
      </c>
      <c r="AS927" s="42" t="s">
        <v>160</v>
      </c>
      <c r="AT927" s="19"/>
      <c r="AU927" s="19"/>
      <c r="AV927" s="19"/>
      <c r="AW927" s="19"/>
      <c r="AX927" s="19"/>
      <c r="AY927" s="19"/>
      <c r="AZ927" s="42" t="s">
        <v>160</v>
      </c>
      <c r="BA927" s="42" t="s">
        <v>160</v>
      </c>
      <c r="BB927" s="42"/>
      <c r="BC927" s="42"/>
      <c r="BD927" s="42"/>
      <c r="BE927" s="42"/>
    </row>
    <row r="928" spans="1:57" s="7" customFormat="1" x14ac:dyDescent="0.25">
      <c r="A928" s="105" t="s">
        <v>2773</v>
      </c>
      <c r="B928" s="171" t="s">
        <v>3027</v>
      </c>
      <c r="C928" s="171" t="s">
        <v>869</v>
      </c>
      <c r="D928" s="111" t="s">
        <v>752</v>
      </c>
      <c r="E928" s="165">
        <f>58+38/60+26.0988/3600</f>
        <v>58.640582999999999</v>
      </c>
      <c r="F928" s="165">
        <f>17+7/60+47.2188/3600</f>
        <v>17.129783</v>
      </c>
      <c r="G928" s="113"/>
      <c r="H928" s="105" t="s">
        <v>150</v>
      </c>
      <c r="I928" s="113" t="s">
        <v>169</v>
      </c>
      <c r="J928" s="113" t="s">
        <v>169</v>
      </c>
      <c r="K928" s="113" t="s">
        <v>5</v>
      </c>
      <c r="L928" s="113" t="s">
        <v>2056</v>
      </c>
      <c r="M928" s="105" t="s">
        <v>2653</v>
      </c>
      <c r="N928" s="106"/>
      <c r="O928" s="106"/>
      <c r="P928" s="106"/>
      <c r="Q928" s="108"/>
      <c r="R928" s="108"/>
      <c r="S928" s="108"/>
      <c r="T928" s="108"/>
      <c r="U928" s="108"/>
      <c r="V928" s="106"/>
      <c r="W928" s="106"/>
      <c r="X928" s="106"/>
      <c r="Y928" s="106"/>
      <c r="Z928" s="106"/>
      <c r="AA928" s="106"/>
      <c r="AB928" s="106"/>
      <c r="AC928" s="106"/>
      <c r="AD928" s="106"/>
      <c r="AE928" s="106"/>
      <c r="AF928" s="106"/>
      <c r="AG928" s="106"/>
      <c r="AH928" s="106"/>
      <c r="AI928" s="106"/>
      <c r="AJ928" s="106"/>
      <c r="AK928" s="106"/>
      <c r="AL928" s="106"/>
      <c r="AM928" s="106"/>
      <c r="AN928" s="106"/>
      <c r="AO928" s="106"/>
      <c r="AP928" s="106"/>
      <c r="AQ928" s="106"/>
      <c r="AR928" s="106" t="s">
        <v>160</v>
      </c>
      <c r="AS928" s="106" t="s">
        <v>160</v>
      </c>
      <c r="AT928" s="108"/>
      <c r="AU928" s="108"/>
      <c r="AV928" s="108"/>
      <c r="AW928" s="108"/>
      <c r="AX928" s="108"/>
      <c r="AY928" s="108"/>
      <c r="AZ928" s="106" t="s">
        <v>160</v>
      </c>
      <c r="BA928" s="106" t="s">
        <v>160</v>
      </c>
      <c r="BB928" s="106"/>
      <c r="BC928" s="106"/>
      <c r="BD928" s="106"/>
      <c r="BE928" s="106"/>
    </row>
    <row r="929" spans="1:57" x14ac:dyDescent="0.25">
      <c r="A929" s="7" t="s">
        <v>8</v>
      </c>
      <c r="B929" s="58" t="s">
        <v>875</v>
      </c>
      <c r="C929" s="45" t="s">
        <v>869</v>
      </c>
      <c r="D929" s="45" t="s">
        <v>752</v>
      </c>
      <c r="E929" s="46">
        <f>58+38/60+26.0988/3600</f>
        <v>58.640582999999999</v>
      </c>
      <c r="F929" s="46">
        <f>17+7/60+47.2188/3600</f>
        <v>17.129783</v>
      </c>
      <c r="G929" s="41"/>
      <c r="H929" s="7" t="s">
        <v>150</v>
      </c>
      <c r="I929" s="41" t="s">
        <v>169</v>
      </c>
      <c r="J929" s="41" t="s">
        <v>169</v>
      </c>
      <c r="K929" s="41" t="s">
        <v>5</v>
      </c>
      <c r="L929" s="41" t="s">
        <v>2056</v>
      </c>
      <c r="M929" s="7" t="s">
        <v>2653</v>
      </c>
      <c r="N929" s="42"/>
      <c r="O929" s="42"/>
      <c r="P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2"/>
      <c r="AJ929" s="42"/>
      <c r="AK929" s="42"/>
      <c r="AL929" s="42"/>
      <c r="AM929" s="42"/>
      <c r="AN929" s="42"/>
      <c r="AO929" s="42"/>
      <c r="AP929" s="42"/>
      <c r="AQ929" s="42"/>
      <c r="AR929" s="42" t="s">
        <v>160</v>
      </c>
      <c r="AS929" s="42" t="s">
        <v>160</v>
      </c>
      <c r="AZ929" s="42" t="s">
        <v>160</v>
      </c>
      <c r="BA929" s="42" t="s">
        <v>160</v>
      </c>
      <c r="BB929" s="42"/>
      <c r="BC929" s="42"/>
      <c r="BD929" s="42"/>
      <c r="BE929" s="42"/>
    </row>
    <row r="930" spans="1:57" x14ac:dyDescent="0.25">
      <c r="A930" s="9" t="s">
        <v>706</v>
      </c>
      <c r="B930" s="39">
        <v>10</v>
      </c>
      <c r="C930" s="39" t="s">
        <v>869</v>
      </c>
      <c r="D930" s="61" t="s">
        <v>752</v>
      </c>
      <c r="E930" s="52">
        <f>58+38/60+26/3600</f>
        <v>58.640555555555558</v>
      </c>
      <c r="F930" s="52">
        <f>17+7/60+47/3600</f>
        <v>17.129722222222224</v>
      </c>
      <c r="G930" s="40"/>
      <c r="H930" s="9" t="s">
        <v>150</v>
      </c>
      <c r="I930" s="41" t="s">
        <v>169</v>
      </c>
      <c r="J930" s="41" t="s">
        <v>169</v>
      </c>
      <c r="K930" s="40" t="s">
        <v>5</v>
      </c>
      <c r="L930" s="41" t="s">
        <v>2056</v>
      </c>
      <c r="M930" s="7" t="s">
        <v>2653</v>
      </c>
      <c r="N930" s="42"/>
      <c r="O930" s="42"/>
      <c r="P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2"/>
      <c r="AJ930" s="42"/>
      <c r="AK930" s="42"/>
      <c r="AL930" s="42"/>
      <c r="AM930" s="42"/>
      <c r="AN930" s="42"/>
      <c r="AO930" s="42"/>
      <c r="AP930" s="42"/>
      <c r="AQ930" s="42"/>
      <c r="AR930" s="42" t="s">
        <v>160</v>
      </c>
      <c r="AS930" s="42" t="s">
        <v>160</v>
      </c>
      <c r="AZ930" s="42" t="s">
        <v>160</v>
      </c>
      <c r="BA930" s="42" t="s">
        <v>160</v>
      </c>
      <c r="BB930" s="42"/>
      <c r="BC930" s="42"/>
      <c r="BD930" s="42"/>
      <c r="BE930" s="42"/>
    </row>
    <row r="931" spans="1:57" x14ac:dyDescent="0.25">
      <c r="A931" s="9" t="s">
        <v>8</v>
      </c>
      <c r="B931" s="27">
        <v>37326</v>
      </c>
      <c r="C931" s="28" t="s">
        <v>1784</v>
      </c>
      <c r="D931" s="28" t="s">
        <v>1784</v>
      </c>
      <c r="E931" s="25">
        <v>56.25</v>
      </c>
      <c r="F931" s="25">
        <v>12.25</v>
      </c>
      <c r="H931" s="9" t="s">
        <v>150</v>
      </c>
      <c r="I931" s="9" t="s">
        <v>8</v>
      </c>
      <c r="J931" s="7" t="s">
        <v>8</v>
      </c>
      <c r="K931" s="6" t="s">
        <v>2455</v>
      </c>
      <c r="L931" s="7" t="s">
        <v>2027</v>
      </c>
      <c r="M931" s="28" t="s">
        <v>717</v>
      </c>
      <c r="N931" s="19" t="s">
        <v>1864</v>
      </c>
      <c r="O931" s="22"/>
      <c r="T931" s="7"/>
      <c r="X931" s="19" t="s">
        <v>160</v>
      </c>
      <c r="BA931" s="7"/>
      <c r="BB931" s="7"/>
      <c r="BC931" s="7"/>
      <c r="BD931" s="7"/>
      <c r="BE931" s="7"/>
    </row>
    <row r="932" spans="1:57" x14ac:dyDescent="0.25">
      <c r="A932" s="9" t="s">
        <v>8</v>
      </c>
      <c r="B932" s="27">
        <v>37327</v>
      </c>
      <c r="C932" s="28" t="s">
        <v>1785</v>
      </c>
      <c r="D932" s="28" t="s">
        <v>1785</v>
      </c>
      <c r="E932" s="25">
        <v>56.333300000000001</v>
      </c>
      <c r="F932" s="25">
        <v>11.333299999999999</v>
      </c>
      <c r="H932" s="9" t="s">
        <v>150</v>
      </c>
      <c r="I932" s="9" t="s">
        <v>8</v>
      </c>
      <c r="J932" s="7" t="s">
        <v>8</v>
      </c>
      <c r="K932" s="6" t="s">
        <v>2455</v>
      </c>
      <c r="L932" s="7" t="s">
        <v>2027</v>
      </c>
      <c r="M932" s="28" t="s">
        <v>717</v>
      </c>
      <c r="N932" s="19" t="s">
        <v>1865</v>
      </c>
      <c r="O932" s="22"/>
      <c r="T932" s="7"/>
      <c r="X932" s="19" t="s">
        <v>160</v>
      </c>
      <c r="BA932" s="7"/>
      <c r="BB932" s="7"/>
      <c r="BC932" s="7"/>
      <c r="BD932" s="7"/>
      <c r="BE932" s="7"/>
    </row>
    <row r="933" spans="1:57" x14ac:dyDescent="0.25">
      <c r="A933" s="9" t="s">
        <v>8</v>
      </c>
      <c r="B933" s="9">
        <v>33037</v>
      </c>
      <c r="C933" s="9" t="s">
        <v>2457</v>
      </c>
      <c r="D933" s="9" t="s">
        <v>1701</v>
      </c>
      <c r="E933" s="25">
        <v>56.288800000000002</v>
      </c>
      <c r="F933" s="75">
        <v>12.336</v>
      </c>
      <c r="H933" s="9" t="s">
        <v>150</v>
      </c>
      <c r="I933" s="5" t="s">
        <v>8</v>
      </c>
      <c r="J933" s="5" t="s">
        <v>8</v>
      </c>
      <c r="K933" s="6" t="s">
        <v>951</v>
      </c>
      <c r="L933" s="7" t="s">
        <v>2033</v>
      </c>
      <c r="M933" s="7" t="s">
        <v>2653</v>
      </c>
      <c r="N933" s="19">
        <v>2021</v>
      </c>
      <c r="O933" s="22"/>
      <c r="P933" s="19" t="s">
        <v>160</v>
      </c>
      <c r="S933" s="19" t="s">
        <v>160</v>
      </c>
      <c r="T933" s="19" t="s">
        <v>160</v>
      </c>
      <c r="X933" s="19" t="s">
        <v>160</v>
      </c>
      <c r="Y933" s="19" t="s">
        <v>160</v>
      </c>
      <c r="Z933" s="19" t="s">
        <v>160</v>
      </c>
      <c r="AA933" s="19" t="s">
        <v>160</v>
      </c>
      <c r="AB933" s="19" t="s">
        <v>160</v>
      </c>
      <c r="AC933" s="19" t="s">
        <v>160</v>
      </c>
      <c r="BB933" s="19"/>
      <c r="BC933" s="19"/>
      <c r="BD933" s="19"/>
      <c r="BE933" s="19"/>
    </row>
    <row r="934" spans="1:57" x14ac:dyDescent="0.25">
      <c r="A934" s="9" t="s">
        <v>8</v>
      </c>
      <c r="B934" s="27">
        <v>37346</v>
      </c>
      <c r="C934" s="28" t="s">
        <v>1802</v>
      </c>
      <c r="D934" s="28" t="s">
        <v>1802</v>
      </c>
      <c r="E934" s="25">
        <v>56.5</v>
      </c>
      <c r="F934" s="25">
        <v>12</v>
      </c>
      <c r="H934" s="9" t="s">
        <v>150</v>
      </c>
      <c r="I934" s="9" t="s">
        <v>8</v>
      </c>
      <c r="J934" s="7" t="s">
        <v>8</v>
      </c>
      <c r="K934" s="6" t="s">
        <v>2455</v>
      </c>
      <c r="L934" s="7" t="s">
        <v>2027</v>
      </c>
      <c r="M934" s="28" t="s">
        <v>717</v>
      </c>
      <c r="N934" s="19" t="s">
        <v>1349</v>
      </c>
      <c r="O934" s="22"/>
      <c r="T934" s="7"/>
      <c r="X934" s="19" t="s">
        <v>160</v>
      </c>
      <c r="BA934" s="7"/>
      <c r="BB934" s="7"/>
      <c r="BC934" s="7"/>
      <c r="BD934" s="7"/>
      <c r="BE934" s="7"/>
    </row>
    <row r="935" spans="1:57" x14ac:dyDescent="0.25">
      <c r="A935" s="9" t="s">
        <v>8</v>
      </c>
      <c r="B935" s="27">
        <v>37347</v>
      </c>
      <c r="C935" s="28" t="s">
        <v>1803</v>
      </c>
      <c r="D935" s="28" t="s">
        <v>1803</v>
      </c>
      <c r="E935" s="25">
        <v>56.4833</v>
      </c>
      <c r="F935" s="25">
        <v>11.4</v>
      </c>
      <c r="H935" s="9" t="s">
        <v>150</v>
      </c>
      <c r="I935" s="9" t="s">
        <v>8</v>
      </c>
      <c r="J935" s="7" t="s">
        <v>8</v>
      </c>
      <c r="K935" s="6" t="s">
        <v>2455</v>
      </c>
      <c r="L935" s="7" t="s">
        <v>2027</v>
      </c>
      <c r="M935" s="28" t="s">
        <v>717</v>
      </c>
      <c r="N935" s="19" t="s">
        <v>1349</v>
      </c>
      <c r="O935" s="22"/>
      <c r="T935" s="7"/>
      <c r="X935" s="19" t="s">
        <v>160</v>
      </c>
      <c r="BA935" s="7"/>
      <c r="BB935" s="7"/>
      <c r="BC935" s="7"/>
      <c r="BD935" s="7"/>
      <c r="BE935" s="7"/>
    </row>
    <row r="936" spans="1:57" s="94" customFormat="1" x14ac:dyDescent="0.25">
      <c r="A936" s="9" t="s">
        <v>707</v>
      </c>
      <c r="B936" s="39" t="s">
        <v>496</v>
      </c>
      <c r="C936" s="39" t="s">
        <v>1488</v>
      </c>
      <c r="D936" s="40" t="s">
        <v>497</v>
      </c>
      <c r="E936" s="46" t="s">
        <v>499</v>
      </c>
      <c r="F936" s="46" t="s">
        <v>498</v>
      </c>
      <c r="G936" s="9"/>
      <c r="H936" s="9" t="s">
        <v>148</v>
      </c>
      <c r="I936" s="41" t="s">
        <v>8</v>
      </c>
      <c r="J936" s="41" t="s">
        <v>8</v>
      </c>
      <c r="K936" s="40" t="s">
        <v>5</v>
      </c>
      <c r="L936" s="41" t="s">
        <v>2043</v>
      </c>
      <c r="M936" s="7" t="s">
        <v>2653</v>
      </c>
      <c r="N936" s="19" t="s">
        <v>2521</v>
      </c>
      <c r="O936" s="22"/>
      <c r="P936" s="19" t="s">
        <v>160</v>
      </c>
      <c r="Q936" s="19"/>
      <c r="R936" s="19"/>
      <c r="S936" s="19"/>
      <c r="T936" s="19"/>
      <c r="U936" s="19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2"/>
      <c r="AJ936" s="42"/>
      <c r="AK936" s="42"/>
      <c r="AL936" s="42"/>
      <c r="AM936" s="42"/>
      <c r="AN936" s="42"/>
      <c r="AO936" s="42"/>
      <c r="AP936" s="42"/>
      <c r="AQ936" s="42"/>
      <c r="AR936" s="42" t="s">
        <v>160</v>
      </c>
      <c r="AS936" s="42" t="s">
        <v>160</v>
      </c>
      <c r="AT936" s="19"/>
      <c r="AU936" s="19"/>
      <c r="AV936" s="19"/>
      <c r="AW936" s="19"/>
      <c r="AX936" s="19"/>
      <c r="AY936" s="19"/>
      <c r="AZ936" s="42"/>
      <c r="BA936" s="42"/>
      <c r="BB936" s="42"/>
      <c r="BC936" s="42"/>
      <c r="BD936" s="42"/>
      <c r="BE936" s="42"/>
    </row>
    <row r="937" spans="1:57" x14ac:dyDescent="0.25">
      <c r="A937" s="114" t="s">
        <v>2773</v>
      </c>
      <c r="B937" s="94" t="s">
        <v>3024</v>
      </c>
      <c r="C937" s="94" t="s">
        <v>1488</v>
      </c>
      <c r="D937" s="153" t="s">
        <v>1489</v>
      </c>
      <c r="E937" s="82">
        <f>58+45/60+18.36/3600</f>
        <v>58.755099999999999</v>
      </c>
      <c r="F937" s="82">
        <f>13+9/60+5.04/3600</f>
        <v>13.151400000000001</v>
      </c>
      <c r="G937" s="94">
        <v>53.642000000000003</v>
      </c>
      <c r="H937" s="94" t="s">
        <v>148</v>
      </c>
      <c r="I937" s="122" t="s">
        <v>8</v>
      </c>
      <c r="J937" s="122" t="s">
        <v>8</v>
      </c>
      <c r="K937" s="82" t="s">
        <v>5</v>
      </c>
      <c r="L937" s="93" t="s">
        <v>2062</v>
      </c>
      <c r="M937" s="105" t="s">
        <v>2653</v>
      </c>
      <c r="N937" s="108" t="s">
        <v>2521</v>
      </c>
      <c r="O937" s="104"/>
      <c r="P937" s="108" t="s">
        <v>160</v>
      </c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  <c r="AA937" s="108"/>
      <c r="AB937" s="108"/>
      <c r="AC937" s="108"/>
      <c r="AD937" s="108"/>
      <c r="AE937" s="108"/>
      <c r="AF937" s="108"/>
      <c r="AG937" s="108"/>
      <c r="AH937" s="108"/>
      <c r="AI937" s="108"/>
      <c r="AJ937" s="108"/>
      <c r="AK937" s="108"/>
      <c r="AL937" s="108"/>
      <c r="AM937" s="108"/>
      <c r="AN937" s="108"/>
      <c r="AO937" s="108"/>
      <c r="AP937" s="108"/>
      <c r="AQ937" s="108"/>
      <c r="AR937" s="108" t="s">
        <v>160</v>
      </c>
      <c r="AS937" s="108" t="s">
        <v>160</v>
      </c>
      <c r="AT937" s="108"/>
      <c r="AU937" s="108"/>
      <c r="AV937" s="108"/>
      <c r="AW937" s="108"/>
      <c r="AX937" s="108" t="s">
        <v>160</v>
      </c>
      <c r="AY937" s="108" t="s">
        <v>160</v>
      </c>
      <c r="AZ937" s="108"/>
      <c r="BA937" s="108"/>
      <c r="BB937" s="108"/>
      <c r="BC937" s="108"/>
      <c r="BD937" s="108"/>
      <c r="BE937" s="108"/>
    </row>
    <row r="938" spans="1:57" x14ac:dyDescent="0.25">
      <c r="A938" s="6" t="s">
        <v>8</v>
      </c>
      <c r="B938" s="9">
        <v>83450</v>
      </c>
      <c r="C938" s="9" t="s">
        <v>1488</v>
      </c>
      <c r="D938" s="9" t="s">
        <v>1489</v>
      </c>
      <c r="E938" s="3">
        <f>58+45/60+18.36/3600</f>
        <v>58.755099999999999</v>
      </c>
      <c r="F938" s="3">
        <f>13+9/60+5.04/3600</f>
        <v>13.151400000000001</v>
      </c>
      <c r="G938" s="9">
        <v>53.642000000000003</v>
      </c>
      <c r="H938" s="9" t="s">
        <v>148</v>
      </c>
      <c r="I938" s="21" t="s">
        <v>8</v>
      </c>
      <c r="J938" s="21" t="s">
        <v>8</v>
      </c>
      <c r="K938" s="3" t="s">
        <v>5</v>
      </c>
      <c r="L938" s="5" t="s">
        <v>2062</v>
      </c>
      <c r="M938" s="7" t="s">
        <v>2653</v>
      </c>
      <c r="N938" s="19" t="s">
        <v>2521</v>
      </c>
      <c r="O938" s="22"/>
      <c r="P938" s="19" t="s">
        <v>160</v>
      </c>
      <c r="AR938" s="19" t="s">
        <v>160</v>
      </c>
      <c r="AS938" s="19" t="s">
        <v>160</v>
      </c>
      <c r="AX938" s="19" t="s">
        <v>160</v>
      </c>
      <c r="AY938" s="19" t="s">
        <v>160</v>
      </c>
      <c r="BB938" s="19"/>
      <c r="BC938" s="19"/>
      <c r="BD938" s="19"/>
      <c r="BE938" s="19"/>
    </row>
    <row r="939" spans="1:57" x14ac:dyDescent="0.25">
      <c r="A939" s="9" t="s">
        <v>706</v>
      </c>
      <c r="B939" s="38">
        <v>6</v>
      </c>
      <c r="C939" s="39" t="s">
        <v>1488</v>
      </c>
      <c r="D939" s="62" t="s">
        <v>89</v>
      </c>
      <c r="E939" s="3">
        <f>58+45/60+18/3600</f>
        <v>58.755000000000003</v>
      </c>
      <c r="F939" s="3">
        <f>13+9/60+5/3600</f>
        <v>13.151388888888889</v>
      </c>
      <c r="H939" s="9" t="s">
        <v>148</v>
      </c>
      <c r="I939" s="7" t="s">
        <v>8</v>
      </c>
      <c r="J939" s="7" t="s">
        <v>8</v>
      </c>
      <c r="K939" s="9" t="s">
        <v>5</v>
      </c>
      <c r="L939" s="7" t="s">
        <v>2043</v>
      </c>
      <c r="M939" s="7" t="s">
        <v>2653</v>
      </c>
      <c r="N939" s="19" t="s">
        <v>2521</v>
      </c>
      <c r="O939" s="22"/>
      <c r="P939" s="19" t="s">
        <v>160</v>
      </c>
      <c r="AR939" s="19" t="s">
        <v>160</v>
      </c>
      <c r="AS939" s="19" t="s">
        <v>160</v>
      </c>
      <c r="BB939" s="19"/>
      <c r="BC939" s="19"/>
      <c r="BD939" s="19"/>
      <c r="BE939" s="19"/>
    </row>
    <row r="940" spans="1:57" x14ac:dyDescent="0.25">
      <c r="A940" s="9" t="s">
        <v>8</v>
      </c>
      <c r="B940" s="26">
        <v>35017</v>
      </c>
      <c r="C940" s="24" t="s">
        <v>1056</v>
      </c>
      <c r="D940" t="s">
        <v>1057</v>
      </c>
      <c r="E940" s="25">
        <f>57+54/60</f>
        <v>57.9</v>
      </c>
      <c r="F940" s="25">
        <f>11+28/60</f>
        <v>11.466666666666667</v>
      </c>
      <c r="G940" s="9"/>
      <c r="H940" s="9" t="s">
        <v>150</v>
      </c>
      <c r="I940" s="9" t="s">
        <v>8</v>
      </c>
      <c r="J940" s="7" t="s">
        <v>8</v>
      </c>
      <c r="K940" s="10" t="s">
        <v>951</v>
      </c>
      <c r="L940" s="7" t="s">
        <v>2684</v>
      </c>
      <c r="M940" s="7" t="s">
        <v>717</v>
      </c>
      <c r="N940" s="42" t="s">
        <v>1333</v>
      </c>
      <c r="O940" s="22"/>
      <c r="P940" s="42"/>
      <c r="S940" s="19" t="s">
        <v>160</v>
      </c>
      <c r="T940" s="19" t="s">
        <v>160</v>
      </c>
      <c r="U940" s="42"/>
      <c r="X940" s="19" t="s">
        <v>160</v>
      </c>
      <c r="Z940" s="19" t="s">
        <v>160</v>
      </c>
      <c r="AL940" s="19" t="s">
        <v>160</v>
      </c>
      <c r="AR940" s="19" t="s">
        <v>160</v>
      </c>
      <c r="AT940" s="19" t="s">
        <v>160</v>
      </c>
      <c r="AV940" s="19" t="s">
        <v>160</v>
      </c>
      <c r="BB940" s="19"/>
      <c r="BC940" s="19"/>
      <c r="BD940" s="19"/>
      <c r="BE940" s="19"/>
    </row>
    <row r="941" spans="1:57" x14ac:dyDescent="0.25">
      <c r="A941" s="6" t="s">
        <v>8</v>
      </c>
      <c r="B941" s="9">
        <v>161790</v>
      </c>
      <c r="C941" s="9" t="s">
        <v>2020</v>
      </c>
      <c r="D941" s="9" t="s">
        <v>2022</v>
      </c>
      <c r="E941" s="3">
        <v>65.315600000000003</v>
      </c>
      <c r="F941" s="3">
        <v>21.4907</v>
      </c>
      <c r="G941" s="9">
        <v>6</v>
      </c>
      <c r="H941" s="9" t="s">
        <v>150</v>
      </c>
      <c r="I941" s="6" t="s">
        <v>8</v>
      </c>
      <c r="J941" s="21" t="s">
        <v>8</v>
      </c>
      <c r="K941" s="3" t="s">
        <v>5</v>
      </c>
      <c r="L941" s="5" t="s">
        <v>2059</v>
      </c>
      <c r="M941" s="7" t="s">
        <v>717</v>
      </c>
      <c r="N941" s="19" t="s">
        <v>2522</v>
      </c>
      <c r="O941" s="22"/>
      <c r="P941" s="19" t="s">
        <v>160</v>
      </c>
      <c r="AR941" s="19" t="s">
        <v>160</v>
      </c>
      <c r="AV941" s="19" t="s">
        <v>160</v>
      </c>
      <c r="AX941" s="19" t="s">
        <v>160</v>
      </c>
      <c r="AZ941" s="19" t="s">
        <v>160</v>
      </c>
      <c r="BB941" s="19"/>
      <c r="BC941" s="19"/>
      <c r="BD941" s="19"/>
      <c r="BE941" s="19"/>
    </row>
    <row r="942" spans="1:57" s="94" customFormat="1" x14ac:dyDescent="0.25">
      <c r="A942" s="9" t="s">
        <v>707</v>
      </c>
      <c r="B942" s="39" t="s">
        <v>492</v>
      </c>
      <c r="C942" s="39" t="s">
        <v>916</v>
      </c>
      <c r="D942" s="40" t="s">
        <v>493</v>
      </c>
      <c r="E942" s="46" t="s">
        <v>495</v>
      </c>
      <c r="F942" s="46" t="s">
        <v>494</v>
      </c>
      <c r="G942" s="40"/>
      <c r="H942" s="9" t="s">
        <v>2612</v>
      </c>
      <c r="I942" s="41" t="s">
        <v>183</v>
      </c>
      <c r="J942" s="41" t="s">
        <v>169</v>
      </c>
      <c r="K942" s="40" t="s">
        <v>936</v>
      </c>
      <c r="L942" s="41" t="s">
        <v>2036</v>
      </c>
      <c r="M942" s="7" t="s">
        <v>2653</v>
      </c>
      <c r="N942" s="19"/>
      <c r="O942" s="19"/>
      <c r="P942" s="19"/>
      <c r="Q942" s="19"/>
      <c r="R942" s="19"/>
      <c r="S942" s="19"/>
      <c r="T942" s="19"/>
      <c r="U942" s="19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2"/>
      <c r="AJ942" s="42"/>
      <c r="AK942" s="42"/>
      <c r="AL942" s="42"/>
      <c r="AM942" s="42"/>
      <c r="AN942" s="42"/>
      <c r="AO942" s="42"/>
      <c r="AP942" s="42" t="s">
        <v>160</v>
      </c>
      <c r="AQ942" s="42" t="s">
        <v>160</v>
      </c>
      <c r="AR942" s="42"/>
      <c r="AS942" s="42"/>
      <c r="AT942" s="19"/>
      <c r="AU942" s="19"/>
      <c r="AV942" s="19"/>
      <c r="AW942" s="19"/>
      <c r="AX942" s="19"/>
      <c r="AY942" s="19"/>
      <c r="AZ942" s="42"/>
      <c r="BA942" s="42"/>
      <c r="BB942" s="42"/>
      <c r="BC942" s="42"/>
      <c r="BD942" s="42"/>
      <c r="BE942" s="42"/>
    </row>
    <row r="943" spans="1:57" x14ac:dyDescent="0.25">
      <c r="A943" s="114" t="s">
        <v>2773</v>
      </c>
      <c r="B943" s="110" t="s">
        <v>3025</v>
      </c>
      <c r="C943" s="115" t="s">
        <v>916</v>
      </c>
      <c r="D943" s="163" t="s">
        <v>88</v>
      </c>
      <c r="E943" s="83">
        <f>65+18/60+35.64/3600</f>
        <v>65.309899999999999</v>
      </c>
      <c r="F943" s="83">
        <f>21+25/60+13.44/3600</f>
        <v>21.420400000000001</v>
      </c>
      <c r="G943" s="93"/>
      <c r="H943" s="94" t="s">
        <v>2612</v>
      </c>
      <c r="I943" s="102" t="s">
        <v>169</v>
      </c>
      <c r="J943" s="113" t="s">
        <v>169</v>
      </c>
      <c r="K943" s="94" t="s">
        <v>936</v>
      </c>
      <c r="L943" s="102" t="s">
        <v>2036</v>
      </c>
      <c r="M943" s="105" t="s">
        <v>2653</v>
      </c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  <c r="AA943" s="108"/>
      <c r="AB943" s="108"/>
      <c r="AC943" s="108"/>
      <c r="AD943" s="108"/>
      <c r="AE943" s="108"/>
      <c r="AF943" s="108"/>
      <c r="AG943" s="108"/>
      <c r="AH943" s="108"/>
      <c r="AI943" s="108"/>
      <c r="AJ943" s="108"/>
      <c r="AK943" s="108"/>
      <c r="AL943" s="108"/>
      <c r="AM943" s="108"/>
      <c r="AN943" s="108"/>
      <c r="AO943" s="108"/>
      <c r="AP943" s="108" t="s">
        <v>160</v>
      </c>
      <c r="AQ943" s="108" t="s">
        <v>160</v>
      </c>
      <c r="AR943" s="108"/>
      <c r="AS943" s="108"/>
      <c r="AT943" s="108"/>
      <c r="AU943" s="108"/>
      <c r="AV943" s="108"/>
      <c r="AW943" s="108"/>
      <c r="AX943" s="108"/>
      <c r="AY943" s="108"/>
      <c r="AZ943" s="108"/>
      <c r="BA943" s="108"/>
      <c r="BB943" s="108"/>
      <c r="BC943" s="108"/>
      <c r="BD943" s="108"/>
      <c r="BE943" s="108"/>
    </row>
    <row r="944" spans="1:57" x14ac:dyDescent="0.25">
      <c r="A944" s="6" t="s">
        <v>8</v>
      </c>
      <c r="B944" s="23">
        <v>35207</v>
      </c>
      <c r="C944" s="39" t="s">
        <v>916</v>
      </c>
      <c r="D944" s="24" t="s">
        <v>710</v>
      </c>
      <c r="E944" s="52">
        <f>65+18/60+35.64/3600</f>
        <v>65.309899999999999</v>
      </c>
      <c r="F944" s="52">
        <f>21+25/60+13.44/3600</f>
        <v>21.420400000000001</v>
      </c>
      <c r="G944" s="5"/>
      <c r="H944" s="9" t="s">
        <v>2612</v>
      </c>
      <c r="I944" s="24" t="s">
        <v>169</v>
      </c>
      <c r="J944" s="41" t="s">
        <v>169</v>
      </c>
      <c r="K944" s="9" t="s">
        <v>936</v>
      </c>
      <c r="L944" s="24" t="s">
        <v>2036</v>
      </c>
      <c r="M944" s="7" t="s">
        <v>2653</v>
      </c>
      <c r="AP944" s="19" t="s">
        <v>160</v>
      </c>
      <c r="AQ944" s="19" t="s">
        <v>160</v>
      </c>
      <c r="BB944" s="19"/>
      <c r="BC944" s="19"/>
      <c r="BD944" s="19"/>
      <c r="BE944" s="19"/>
    </row>
    <row r="945" spans="1:57" x14ac:dyDescent="0.25">
      <c r="A945" s="9" t="s">
        <v>706</v>
      </c>
      <c r="B945" s="38">
        <v>102</v>
      </c>
      <c r="C945" s="39" t="s">
        <v>916</v>
      </c>
      <c r="D945" s="88" t="s">
        <v>88</v>
      </c>
      <c r="E945" s="3">
        <f>65+31/60+59/3600</f>
        <v>65.533055555555549</v>
      </c>
      <c r="F945" s="3">
        <f>21+12/60+43/3600</f>
        <v>21.211944444444445</v>
      </c>
      <c r="G945" s="5"/>
      <c r="H945" s="9" t="s">
        <v>2612</v>
      </c>
      <c r="I945" s="41" t="s">
        <v>183</v>
      </c>
      <c r="J945" s="41" t="s">
        <v>169</v>
      </c>
      <c r="K945" s="9" t="s">
        <v>936</v>
      </c>
      <c r="L945" s="7" t="s">
        <v>2036</v>
      </c>
      <c r="M945" s="7" t="s">
        <v>2653</v>
      </c>
      <c r="AP945" s="19" t="s">
        <v>160</v>
      </c>
      <c r="AQ945" s="19" t="s">
        <v>160</v>
      </c>
      <c r="BB945" s="19"/>
      <c r="BC945" s="19"/>
      <c r="BD945" s="19"/>
      <c r="BE945" s="19"/>
    </row>
    <row r="946" spans="1:57" s="94" customFormat="1" x14ac:dyDescent="0.25">
      <c r="A946" s="114" t="s">
        <v>2773</v>
      </c>
      <c r="B946" s="94" t="s">
        <v>3026</v>
      </c>
      <c r="C946" s="94" t="s">
        <v>1490</v>
      </c>
      <c r="D946" s="163" t="s">
        <v>1491</v>
      </c>
      <c r="E946" s="83">
        <f>65+2/60+2.4/3600</f>
        <v>65.033999999999992</v>
      </c>
      <c r="F946" s="82">
        <f>21+33/60+39.24/3600</f>
        <v>21.5609</v>
      </c>
      <c r="G946" s="94">
        <v>4.8780000000000001</v>
      </c>
      <c r="H946" s="94" t="s">
        <v>150</v>
      </c>
      <c r="I946" s="122" t="s">
        <v>8</v>
      </c>
      <c r="J946" s="122" t="s">
        <v>8</v>
      </c>
      <c r="K946" s="82" t="s">
        <v>5</v>
      </c>
      <c r="L946" s="93" t="s">
        <v>2680</v>
      </c>
      <c r="M946" s="105" t="s">
        <v>2653</v>
      </c>
      <c r="N946" s="108" t="s">
        <v>2385</v>
      </c>
      <c r="O946" s="104"/>
      <c r="P946" s="108" t="s">
        <v>160</v>
      </c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  <c r="AA946" s="108"/>
      <c r="AB946" s="108"/>
      <c r="AC946" s="108"/>
      <c r="AD946" s="108"/>
      <c r="AE946" s="108"/>
      <c r="AF946" s="108"/>
      <c r="AG946" s="108"/>
      <c r="AH946" s="108"/>
      <c r="AI946" s="108"/>
      <c r="AJ946" s="108"/>
      <c r="AK946" s="108"/>
      <c r="AL946" s="108"/>
      <c r="AM946" s="108"/>
      <c r="AN946" s="108"/>
      <c r="AO946" s="108"/>
      <c r="AP946" s="108"/>
      <c r="AQ946" s="108"/>
      <c r="AR946" s="108" t="s">
        <v>160</v>
      </c>
      <c r="AS946" s="108" t="s">
        <v>160</v>
      </c>
      <c r="AT946" s="108" t="s">
        <v>160</v>
      </c>
      <c r="AU946" s="108" t="s">
        <v>160</v>
      </c>
      <c r="AV946" s="108" t="s">
        <v>160</v>
      </c>
      <c r="AW946" s="108" t="s">
        <v>160</v>
      </c>
      <c r="AX946" s="108" t="s">
        <v>160</v>
      </c>
      <c r="AY946" s="108" t="s">
        <v>160</v>
      </c>
      <c r="AZ946" s="108" t="s">
        <v>160</v>
      </c>
      <c r="BA946" s="108" t="s">
        <v>160</v>
      </c>
      <c r="BB946" s="108"/>
      <c r="BC946" s="108"/>
      <c r="BD946" s="108"/>
      <c r="BE946" s="108"/>
    </row>
    <row r="947" spans="1:57" x14ac:dyDescent="0.25">
      <c r="A947" s="6" t="s">
        <v>8</v>
      </c>
      <c r="B947" s="9">
        <v>161710</v>
      </c>
      <c r="C947" s="9" t="s">
        <v>1490</v>
      </c>
      <c r="D947" s="9" t="s">
        <v>1491</v>
      </c>
      <c r="E947" s="52">
        <f>65+2/60+2.4/3600</f>
        <v>65.033999999999992</v>
      </c>
      <c r="F947" s="3">
        <f>21+33/60+39.24/3600</f>
        <v>21.5609</v>
      </c>
      <c r="G947" s="9">
        <v>4.8780000000000001</v>
      </c>
      <c r="H947" s="9" t="s">
        <v>150</v>
      </c>
      <c r="I947" s="21" t="s">
        <v>8</v>
      </c>
      <c r="J947" s="21" t="s">
        <v>8</v>
      </c>
      <c r="K947" s="3" t="s">
        <v>5</v>
      </c>
      <c r="L947" s="5" t="s">
        <v>2680</v>
      </c>
      <c r="M947" s="7" t="s">
        <v>2653</v>
      </c>
      <c r="N947" s="19" t="s">
        <v>2385</v>
      </c>
      <c r="O947" s="22"/>
      <c r="P947" s="19" t="s">
        <v>160</v>
      </c>
      <c r="AR947" s="19" t="s">
        <v>160</v>
      </c>
      <c r="AS947" s="19" t="s">
        <v>160</v>
      </c>
      <c r="AT947" s="19" t="s">
        <v>160</v>
      </c>
      <c r="AU947" s="19" t="s">
        <v>160</v>
      </c>
      <c r="AV947" s="19" t="s">
        <v>160</v>
      </c>
      <c r="AW947" s="19" t="s">
        <v>160</v>
      </c>
      <c r="AX947" s="19" t="s">
        <v>160</v>
      </c>
      <c r="AY947" s="19" t="s">
        <v>160</v>
      </c>
      <c r="AZ947" s="19" t="s">
        <v>160</v>
      </c>
      <c r="BA947" s="19" t="s">
        <v>160</v>
      </c>
      <c r="BB947" s="19"/>
      <c r="BC947" s="19"/>
      <c r="BD947" s="19"/>
      <c r="BE947" s="19"/>
    </row>
    <row r="948" spans="1:57" x14ac:dyDescent="0.25">
      <c r="A948" s="6" t="s">
        <v>706</v>
      </c>
      <c r="B948" s="9">
        <v>201</v>
      </c>
      <c r="C948" s="9" t="s">
        <v>1490</v>
      </c>
      <c r="D948" s="88" t="s">
        <v>2743</v>
      </c>
      <c r="E948" s="3">
        <f>65+2/60+2/3600</f>
        <v>65.033888888888882</v>
      </c>
      <c r="F948" s="3">
        <f>21+33/60+39/3600</f>
        <v>21.560833333333335</v>
      </c>
      <c r="G948" s="9"/>
      <c r="H948" s="9" t="s">
        <v>150</v>
      </c>
      <c r="I948" s="21" t="s">
        <v>8</v>
      </c>
      <c r="J948" s="21" t="s">
        <v>8</v>
      </c>
      <c r="K948" s="3" t="s">
        <v>5</v>
      </c>
      <c r="L948" s="5" t="s">
        <v>2043</v>
      </c>
      <c r="M948" s="7" t="s">
        <v>2653</v>
      </c>
      <c r="O948" s="22"/>
      <c r="P948" s="19" t="s">
        <v>160</v>
      </c>
      <c r="AR948" s="19" t="s">
        <v>160</v>
      </c>
      <c r="AS948" s="19" t="s">
        <v>160</v>
      </c>
      <c r="BB948" s="19"/>
      <c r="BC948" s="19"/>
      <c r="BD948" s="19"/>
      <c r="BE948" s="19"/>
    </row>
    <row r="949" spans="1:57" x14ac:dyDescent="0.25">
      <c r="A949" s="6" t="s">
        <v>8</v>
      </c>
      <c r="B949" s="9">
        <v>161770</v>
      </c>
      <c r="C949" s="9" t="s">
        <v>2408</v>
      </c>
      <c r="D949" s="9" t="s">
        <v>1492</v>
      </c>
      <c r="E949" s="3">
        <v>65.23</v>
      </c>
      <c r="F949" s="3">
        <v>21.52</v>
      </c>
      <c r="G949" s="9">
        <v>8</v>
      </c>
      <c r="H949" s="9" t="s">
        <v>150</v>
      </c>
      <c r="I949" s="6" t="s">
        <v>8</v>
      </c>
      <c r="J949" s="21" t="s">
        <v>8</v>
      </c>
      <c r="K949" s="3" t="s">
        <v>5</v>
      </c>
      <c r="L949" s="5" t="s">
        <v>2680</v>
      </c>
      <c r="M949" s="7" t="s">
        <v>717</v>
      </c>
      <c r="N949" s="19" t="s">
        <v>2523</v>
      </c>
      <c r="O949" s="22"/>
      <c r="P949" s="19" t="s">
        <v>160</v>
      </c>
      <c r="AR949" s="19" t="s">
        <v>160</v>
      </c>
      <c r="AT949" s="19" t="s">
        <v>160</v>
      </c>
      <c r="AV949" s="19" t="s">
        <v>160</v>
      </c>
      <c r="AX949" s="19" t="s">
        <v>160</v>
      </c>
      <c r="AZ949" s="19" t="s">
        <v>160</v>
      </c>
      <c r="BB949" s="19"/>
      <c r="BC949" s="19"/>
      <c r="BD949" s="19"/>
      <c r="BE949" s="19"/>
    </row>
    <row r="950" spans="1:57" x14ac:dyDescent="0.25">
      <c r="A950" s="9" t="s">
        <v>8</v>
      </c>
      <c r="B950" s="27">
        <v>37344</v>
      </c>
      <c r="C950" s="28" t="s">
        <v>1800</v>
      </c>
      <c r="D950" s="28" t="s">
        <v>1800</v>
      </c>
      <c r="E950" s="25">
        <v>56.7</v>
      </c>
      <c r="F950" s="25">
        <v>11.7</v>
      </c>
      <c r="H950" s="9" t="s">
        <v>150</v>
      </c>
      <c r="I950" s="9" t="s">
        <v>8</v>
      </c>
      <c r="J950" s="7" t="s">
        <v>8</v>
      </c>
      <c r="K950" s="6" t="s">
        <v>2455</v>
      </c>
      <c r="L950" s="7" t="s">
        <v>2027</v>
      </c>
      <c r="M950" s="28" t="s">
        <v>717</v>
      </c>
      <c r="N950" s="19" t="s">
        <v>1868</v>
      </c>
      <c r="O950" s="22"/>
      <c r="T950" s="7"/>
      <c r="X950" s="19" t="s">
        <v>160</v>
      </c>
      <c r="BA950" s="7"/>
      <c r="BB950" s="7"/>
      <c r="BC950" s="7"/>
      <c r="BD950" s="7"/>
      <c r="BE950" s="7"/>
    </row>
    <row r="951" spans="1:57" x14ac:dyDescent="0.25">
      <c r="A951" s="9" t="s">
        <v>8</v>
      </c>
      <c r="B951" s="27">
        <v>37345</v>
      </c>
      <c r="C951" s="28" t="s">
        <v>1801</v>
      </c>
      <c r="D951" s="28" t="s">
        <v>1801</v>
      </c>
      <c r="E951" s="25">
        <v>56.566699999999997</v>
      </c>
      <c r="F951" s="25">
        <v>11.3</v>
      </c>
      <c r="H951" s="9" t="s">
        <v>150</v>
      </c>
      <c r="I951" s="9" t="s">
        <v>8</v>
      </c>
      <c r="J951" s="7" t="s">
        <v>8</v>
      </c>
      <c r="K951" s="6" t="s">
        <v>2455</v>
      </c>
      <c r="L951" s="7" t="s">
        <v>2027</v>
      </c>
      <c r="M951" s="28" t="s">
        <v>717</v>
      </c>
      <c r="N951" s="19" t="s">
        <v>1868</v>
      </c>
      <c r="O951" s="22"/>
      <c r="T951" s="7"/>
      <c r="X951" s="19" t="s">
        <v>160</v>
      </c>
      <c r="BA951" s="7"/>
      <c r="BB951" s="7"/>
      <c r="BC951" s="7"/>
      <c r="BD951" s="7"/>
      <c r="BE951" s="7"/>
    </row>
    <row r="952" spans="1:57" x14ac:dyDescent="0.25">
      <c r="A952" s="9" t="s">
        <v>8</v>
      </c>
      <c r="B952" s="26">
        <v>33048</v>
      </c>
      <c r="C952" s="24" t="s">
        <v>1090</v>
      </c>
      <c r="D952" s="24" t="s">
        <v>1091</v>
      </c>
      <c r="E952" s="43">
        <f>57+23/60+31/3600</f>
        <v>57.391944444444441</v>
      </c>
      <c r="F952" s="43">
        <f>11+55/60+9/3600</f>
        <v>11.919166666666666</v>
      </c>
      <c r="H952" s="9" t="s">
        <v>150</v>
      </c>
      <c r="I952" s="7" t="s">
        <v>171</v>
      </c>
      <c r="J952" s="7" t="s">
        <v>8</v>
      </c>
      <c r="K952" s="9" t="s">
        <v>951</v>
      </c>
      <c r="L952" s="7" t="s">
        <v>2033</v>
      </c>
      <c r="M952" s="7" t="s">
        <v>2653</v>
      </c>
      <c r="N952" s="42" t="s">
        <v>1135</v>
      </c>
      <c r="O952" s="22"/>
      <c r="P952" s="42"/>
      <c r="U952" s="42"/>
      <c r="X952" s="19" t="s">
        <v>160</v>
      </c>
      <c r="Y952" s="19" t="s">
        <v>160</v>
      </c>
      <c r="Z952" s="19" t="s">
        <v>160</v>
      </c>
      <c r="AA952" s="19" t="s">
        <v>160</v>
      </c>
      <c r="AB952" s="19" t="s">
        <v>160</v>
      </c>
      <c r="AC952" s="19" t="s">
        <v>160</v>
      </c>
      <c r="BB952" s="19"/>
      <c r="BC952" s="19"/>
      <c r="BD952" s="19"/>
      <c r="BE952" s="19"/>
    </row>
    <row r="953" spans="1:57" x14ac:dyDescent="0.25">
      <c r="A953" s="9" t="s">
        <v>707</v>
      </c>
      <c r="B953" s="137" t="s">
        <v>500</v>
      </c>
      <c r="C953" s="23" t="s">
        <v>740</v>
      </c>
      <c r="D953" s="40" t="s">
        <v>501</v>
      </c>
      <c r="E953" s="46" t="s">
        <v>503</v>
      </c>
      <c r="F953" s="46" t="s">
        <v>502</v>
      </c>
      <c r="G953" s="127"/>
      <c r="H953" s="9" t="s">
        <v>150</v>
      </c>
      <c r="I953" s="41" t="s">
        <v>8</v>
      </c>
      <c r="J953" s="41" t="s">
        <v>8</v>
      </c>
      <c r="K953" s="40" t="s">
        <v>6</v>
      </c>
      <c r="L953" s="41" t="s">
        <v>2030</v>
      </c>
      <c r="M953" s="7" t="s">
        <v>2653</v>
      </c>
      <c r="N953" s="42" t="s">
        <v>1128</v>
      </c>
      <c r="O953" s="22"/>
      <c r="P953" s="42" t="s">
        <v>160</v>
      </c>
      <c r="Q953" s="44" t="s">
        <v>1163</v>
      </c>
      <c r="R953" s="44" t="s">
        <v>1618</v>
      </c>
      <c r="S953" s="19" t="s">
        <v>160</v>
      </c>
      <c r="T953" s="19" t="s">
        <v>160</v>
      </c>
      <c r="U953" s="19">
        <v>1</v>
      </c>
      <c r="V953" s="42" t="s">
        <v>160</v>
      </c>
      <c r="W953" s="42" t="s">
        <v>160</v>
      </c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2"/>
      <c r="AJ953" s="42"/>
      <c r="AK953" s="42"/>
      <c r="AL953" s="42"/>
      <c r="AM953" s="42"/>
      <c r="AN953" s="42"/>
      <c r="AO953" s="42"/>
      <c r="AP953" s="42"/>
      <c r="AQ953" s="42"/>
      <c r="AR953" s="42"/>
      <c r="AS953" s="42"/>
      <c r="AZ953" s="42"/>
      <c r="BA953" s="42"/>
      <c r="BB953" s="42"/>
      <c r="BC953" s="42"/>
      <c r="BD953" s="42"/>
      <c r="BE953" s="42"/>
    </row>
    <row r="954" spans="1:57" x14ac:dyDescent="0.25">
      <c r="A954" s="53" t="s">
        <v>2763</v>
      </c>
      <c r="B954" s="143">
        <v>2056</v>
      </c>
      <c r="C954" s="85" t="s">
        <v>740</v>
      </c>
      <c r="D954" s="85" t="s">
        <v>740</v>
      </c>
      <c r="E954" s="35">
        <v>63.986111000000001</v>
      </c>
      <c r="F954" s="35">
        <v>20.895</v>
      </c>
      <c r="G954" s="85"/>
      <c r="H954" s="9" t="s">
        <v>150</v>
      </c>
      <c r="I954" s="14" t="s">
        <v>8</v>
      </c>
      <c r="J954" s="85" t="s">
        <v>8</v>
      </c>
      <c r="K954" s="7" t="s">
        <v>6</v>
      </c>
      <c r="L954" s="7" t="s">
        <v>2030</v>
      </c>
      <c r="M954" s="7" t="s">
        <v>2653</v>
      </c>
      <c r="N954" s="42" t="s">
        <v>1128</v>
      </c>
      <c r="O954" s="22"/>
      <c r="P954" s="42" t="s">
        <v>160</v>
      </c>
      <c r="Q954" s="44" t="s">
        <v>1163</v>
      </c>
      <c r="R954" s="44" t="s">
        <v>1618</v>
      </c>
      <c r="S954" s="19" t="s">
        <v>160</v>
      </c>
      <c r="T954" s="19" t="s">
        <v>160</v>
      </c>
      <c r="U954" s="42">
        <v>1</v>
      </c>
      <c r="V954" s="20" t="s">
        <v>160</v>
      </c>
      <c r="W954" s="20" t="s">
        <v>160</v>
      </c>
      <c r="X954" s="85"/>
      <c r="Y954" s="85"/>
      <c r="Z954" s="85"/>
      <c r="AA954" s="85"/>
      <c r="AB954" s="85"/>
      <c r="AC954" s="85"/>
      <c r="AD954" s="85"/>
      <c r="AE954" s="85"/>
      <c r="AF954" s="85"/>
      <c r="AG954" s="85"/>
      <c r="AH954" s="85"/>
      <c r="AI954" s="85"/>
      <c r="AJ954" s="85"/>
      <c r="AK954" s="85"/>
      <c r="AL954" s="85"/>
      <c r="AM954" s="85"/>
      <c r="AN954" s="85"/>
      <c r="AO954" s="85"/>
      <c r="AP954" s="85"/>
      <c r="AQ954" s="85"/>
      <c r="AR954" s="85"/>
      <c r="AS954" s="85"/>
      <c r="AT954" s="85"/>
      <c r="AU954" s="85"/>
      <c r="AV954" s="85"/>
      <c r="AW954" s="85"/>
      <c r="AX954" s="85"/>
      <c r="AY954" s="85"/>
      <c r="AZ954" s="85"/>
      <c r="BA954" s="85"/>
      <c r="BB954" s="85"/>
      <c r="BC954" s="85"/>
      <c r="BD954" s="85"/>
      <c r="BE954" s="85"/>
    </row>
    <row r="955" spans="1:57" s="94" customFormat="1" x14ac:dyDescent="0.25">
      <c r="A955" s="105" t="s">
        <v>2773</v>
      </c>
      <c r="B955" s="139" t="s">
        <v>2810</v>
      </c>
      <c r="C955" s="110" t="s">
        <v>740</v>
      </c>
      <c r="D955" s="163" t="s">
        <v>740</v>
      </c>
      <c r="E955" s="81">
        <f>63+59/60+9.75/3600</f>
        <v>63.986041666666665</v>
      </c>
      <c r="F955" s="81">
        <f>20+53/60+41.96/3600</f>
        <v>20.894988888888889</v>
      </c>
      <c r="G955" s="126"/>
      <c r="H955" s="105" t="s">
        <v>150</v>
      </c>
      <c r="I955" s="105" t="s">
        <v>8</v>
      </c>
      <c r="J955" s="105" t="s">
        <v>8</v>
      </c>
      <c r="K955" s="105" t="s">
        <v>6</v>
      </c>
      <c r="L955" s="105" t="s">
        <v>2030</v>
      </c>
      <c r="M955" s="105" t="s">
        <v>2653</v>
      </c>
      <c r="N955" s="106" t="s">
        <v>1128</v>
      </c>
      <c r="O955" s="104"/>
      <c r="P955" s="106" t="s">
        <v>160</v>
      </c>
      <c r="Q955" s="107" t="s">
        <v>1163</v>
      </c>
      <c r="R955" s="107" t="s">
        <v>1618</v>
      </c>
      <c r="S955" s="108" t="s">
        <v>160</v>
      </c>
      <c r="T955" s="108" t="s">
        <v>160</v>
      </c>
      <c r="U955" s="106">
        <v>1</v>
      </c>
      <c r="V955" s="103" t="s">
        <v>160</v>
      </c>
      <c r="W955" s="103" t="s">
        <v>160</v>
      </c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  <c r="BD955" s="103"/>
      <c r="BE955" s="103"/>
    </row>
    <row r="956" spans="1:57" x14ac:dyDescent="0.25">
      <c r="A956" s="7" t="s">
        <v>8</v>
      </c>
      <c r="B956" s="142" t="s">
        <v>2935</v>
      </c>
      <c r="C956" s="23" t="s">
        <v>740</v>
      </c>
      <c r="D956" t="s">
        <v>740</v>
      </c>
      <c r="E956" s="202">
        <v>63.9861</v>
      </c>
      <c r="F956" s="202">
        <v>20.895</v>
      </c>
      <c r="G956" s="164"/>
      <c r="H956" s="7" t="s">
        <v>150</v>
      </c>
      <c r="I956" s="7" t="s">
        <v>8</v>
      </c>
      <c r="J956" s="7" t="s">
        <v>8</v>
      </c>
      <c r="K956" s="7" t="s">
        <v>6</v>
      </c>
      <c r="L956" s="7" t="s">
        <v>2030</v>
      </c>
      <c r="M956" s="7" t="s">
        <v>2653</v>
      </c>
      <c r="N956" s="42" t="s">
        <v>1128</v>
      </c>
      <c r="O956" s="22"/>
      <c r="P956" s="42" t="s">
        <v>160</v>
      </c>
      <c r="Q956" s="44" t="s">
        <v>1163</v>
      </c>
      <c r="R956" s="44" t="s">
        <v>1618</v>
      </c>
      <c r="S956" s="19" t="s">
        <v>160</v>
      </c>
      <c r="T956" s="19" t="s">
        <v>160</v>
      </c>
      <c r="U956" s="42">
        <v>1</v>
      </c>
      <c r="V956" s="20" t="s">
        <v>160</v>
      </c>
      <c r="W956" s="20" t="s">
        <v>160</v>
      </c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  <c r="AQ956" s="20"/>
      <c r="AR956" s="20"/>
      <c r="AS956" s="20"/>
      <c r="AT956" s="20"/>
      <c r="AU956" s="20"/>
      <c r="AV956" s="20"/>
      <c r="AW956" s="20"/>
      <c r="AX956" s="20"/>
      <c r="AY956" s="20"/>
      <c r="AZ956" s="20"/>
      <c r="BA956" s="20"/>
      <c r="BB956" s="20"/>
      <c r="BC956" s="20"/>
      <c r="BD956" s="20"/>
      <c r="BE956" s="20"/>
    </row>
    <row r="957" spans="1:57" x14ac:dyDescent="0.25">
      <c r="A957" s="9" t="s">
        <v>706</v>
      </c>
      <c r="B957" s="140">
        <v>159</v>
      </c>
      <c r="C957" s="23" t="s">
        <v>740</v>
      </c>
      <c r="D957" s="88" t="s">
        <v>90</v>
      </c>
      <c r="E957" s="5">
        <f>63+59/60+10/3600</f>
        <v>63.986111111111114</v>
      </c>
      <c r="F957" s="5">
        <f>20+53/60+42/3600</f>
        <v>20.895</v>
      </c>
      <c r="G957" s="52"/>
      <c r="H957" s="9" t="s">
        <v>150</v>
      </c>
      <c r="I957" s="7" t="s">
        <v>8</v>
      </c>
      <c r="J957" s="7" t="s">
        <v>8</v>
      </c>
      <c r="K957" s="9" t="s">
        <v>6</v>
      </c>
      <c r="L957" s="7" t="s">
        <v>2030</v>
      </c>
      <c r="M957" s="7" t="s">
        <v>2653</v>
      </c>
      <c r="N957" s="42" t="s">
        <v>1128</v>
      </c>
      <c r="O957" s="22"/>
      <c r="P957" s="42" t="s">
        <v>160</v>
      </c>
      <c r="Q957" s="44" t="s">
        <v>1163</v>
      </c>
      <c r="R957" s="44" t="s">
        <v>1618</v>
      </c>
      <c r="S957" s="19" t="s">
        <v>160</v>
      </c>
      <c r="T957" s="19" t="s">
        <v>160</v>
      </c>
      <c r="U957" s="19">
        <v>1</v>
      </c>
      <c r="V957" s="19" t="s">
        <v>160</v>
      </c>
      <c r="W957" s="19" t="s">
        <v>160</v>
      </c>
      <c r="BB957" s="19"/>
      <c r="BC957" s="19"/>
      <c r="BD957" s="19"/>
      <c r="BE957" s="19"/>
    </row>
    <row r="958" spans="1:57" x14ac:dyDescent="0.25">
      <c r="A958" s="9" t="s">
        <v>8</v>
      </c>
      <c r="B958" s="27">
        <v>37109</v>
      </c>
      <c r="C958" s="28" t="s">
        <v>1968</v>
      </c>
      <c r="D958" s="28" t="s">
        <v>740</v>
      </c>
      <c r="E958" s="25">
        <v>64</v>
      </c>
      <c r="F958" s="25">
        <v>20.9</v>
      </c>
      <c r="H958" s="9" t="s">
        <v>150</v>
      </c>
      <c r="I958" s="7" t="s">
        <v>8</v>
      </c>
      <c r="J958" s="7" t="s">
        <v>8</v>
      </c>
      <c r="K958" s="6" t="s">
        <v>2455</v>
      </c>
      <c r="L958" s="7" t="s">
        <v>2027</v>
      </c>
      <c r="M958" s="28" t="s">
        <v>2653</v>
      </c>
      <c r="N958" s="19" t="s">
        <v>1814</v>
      </c>
      <c r="O958" s="22"/>
      <c r="T958" s="7"/>
      <c r="X958" s="19" t="s">
        <v>160</v>
      </c>
      <c r="Y958" s="19" t="s">
        <v>160</v>
      </c>
      <c r="BA958" s="7"/>
      <c r="BB958" s="7"/>
      <c r="BC958" s="7"/>
      <c r="BD958" s="7"/>
      <c r="BE958" s="7"/>
    </row>
    <row r="959" spans="1:57" s="94" customFormat="1" x14ac:dyDescent="0.25">
      <c r="A959" s="9" t="s">
        <v>707</v>
      </c>
      <c r="B959" s="39" t="s">
        <v>504</v>
      </c>
      <c r="C959" s="39" t="s">
        <v>823</v>
      </c>
      <c r="D959" s="40" t="s">
        <v>505</v>
      </c>
      <c r="E959" s="46" t="s">
        <v>2146</v>
      </c>
      <c r="F959" s="46" t="s">
        <v>2147</v>
      </c>
      <c r="G959" s="40"/>
      <c r="H959" s="9" t="s">
        <v>150</v>
      </c>
      <c r="I959" s="41" t="s">
        <v>169</v>
      </c>
      <c r="J959" s="41" t="s">
        <v>169</v>
      </c>
      <c r="K959" s="40" t="s">
        <v>5</v>
      </c>
      <c r="L959" s="41" t="s">
        <v>2043</v>
      </c>
      <c r="M959" s="7" t="s">
        <v>2653</v>
      </c>
      <c r="N959" s="19"/>
      <c r="O959" s="19"/>
      <c r="P959" s="19"/>
      <c r="Q959" s="19"/>
      <c r="R959" s="19"/>
      <c r="S959" s="19"/>
      <c r="T959" s="19"/>
      <c r="U959" s="19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2"/>
      <c r="AJ959" s="42"/>
      <c r="AK959" s="42"/>
      <c r="AL959" s="42"/>
      <c r="AM959" s="42"/>
      <c r="AN959" s="42"/>
      <c r="AO959" s="42"/>
      <c r="AP959" s="42"/>
      <c r="AQ959" s="42"/>
      <c r="AR959" s="42" t="s">
        <v>160</v>
      </c>
      <c r="AS959" s="42" t="s">
        <v>160</v>
      </c>
      <c r="AT959" s="19"/>
      <c r="AU959" s="19"/>
      <c r="AV959" s="19"/>
      <c r="AW959" s="19"/>
      <c r="AX959" s="19"/>
      <c r="AY959" s="19"/>
      <c r="AZ959" s="42"/>
      <c r="BA959" s="42"/>
      <c r="BB959" s="42"/>
      <c r="BC959" s="42"/>
      <c r="BD959" s="42"/>
      <c r="BE959" s="42"/>
    </row>
    <row r="960" spans="1:57" x14ac:dyDescent="0.25">
      <c r="A960" s="114" t="s">
        <v>2773</v>
      </c>
      <c r="B960" s="110" t="s">
        <v>3019</v>
      </c>
      <c r="C960" s="115" t="s">
        <v>823</v>
      </c>
      <c r="D960" s="153" t="s">
        <v>91</v>
      </c>
      <c r="E960" s="93">
        <f>59+45/60+31.68/3600</f>
        <v>59.758800000000001</v>
      </c>
      <c r="F960" s="93">
        <f>19+19/60+0.3612/3600</f>
        <v>19.316766999999999</v>
      </c>
      <c r="G960" s="93"/>
      <c r="H960" s="94" t="s">
        <v>150</v>
      </c>
      <c r="I960" s="102" t="s">
        <v>169</v>
      </c>
      <c r="J960" s="102" t="s">
        <v>169</v>
      </c>
      <c r="K960" s="102" t="s">
        <v>5</v>
      </c>
      <c r="L960" s="102" t="s">
        <v>2043</v>
      </c>
      <c r="M960" s="105" t="s">
        <v>2653</v>
      </c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  <c r="Z960" s="108"/>
      <c r="AA960" s="108"/>
      <c r="AB960" s="108"/>
      <c r="AC960" s="108"/>
      <c r="AD960" s="108"/>
      <c r="AE960" s="108"/>
      <c r="AF960" s="108"/>
      <c r="AG960" s="108"/>
      <c r="AH960" s="108"/>
      <c r="AI960" s="108"/>
      <c r="AJ960" s="108"/>
      <c r="AK960" s="108"/>
      <c r="AL960" s="108"/>
      <c r="AM960" s="108"/>
      <c r="AN960" s="108"/>
      <c r="AO960" s="108"/>
      <c r="AP960" s="108"/>
      <c r="AQ960" s="108"/>
      <c r="AR960" s="108" t="s">
        <v>160</v>
      </c>
      <c r="AS960" s="108" t="s">
        <v>160</v>
      </c>
      <c r="AT960" s="108"/>
      <c r="AU960" s="108"/>
      <c r="AV960" s="108"/>
      <c r="AW960" s="108"/>
      <c r="AX960" s="108"/>
      <c r="AY960" s="108"/>
      <c r="AZ960" s="108"/>
      <c r="BA960" s="108"/>
      <c r="BB960" s="108"/>
      <c r="BC960" s="108"/>
      <c r="BD960" s="108"/>
      <c r="BE960" s="108"/>
    </row>
    <row r="961" spans="1:57" x14ac:dyDescent="0.25">
      <c r="A961" s="6" t="s">
        <v>8</v>
      </c>
      <c r="B961" s="23">
        <v>35129</v>
      </c>
      <c r="C961" s="39" t="s">
        <v>823</v>
      </c>
      <c r="D961" s="24" t="s">
        <v>823</v>
      </c>
      <c r="E961" s="5">
        <f>59+45/60+31.68/3600</f>
        <v>59.758800000000001</v>
      </c>
      <c r="F961" s="5">
        <f>19+19/60+0.3612/3600</f>
        <v>19.316766999999999</v>
      </c>
      <c r="G961" s="5"/>
      <c r="H961" s="9" t="s">
        <v>150</v>
      </c>
      <c r="I961" s="24" t="s">
        <v>169</v>
      </c>
      <c r="J961" s="24" t="s">
        <v>169</v>
      </c>
      <c r="K961" s="24" t="s">
        <v>5</v>
      </c>
      <c r="L961" s="24" t="s">
        <v>2043</v>
      </c>
      <c r="M961" s="7" t="s">
        <v>2653</v>
      </c>
      <c r="AR961" s="19" t="s">
        <v>160</v>
      </c>
      <c r="AS961" s="19" t="s">
        <v>160</v>
      </c>
      <c r="BB961" s="19"/>
      <c r="BC961" s="19"/>
      <c r="BD961" s="19"/>
      <c r="BE961" s="19"/>
    </row>
    <row r="962" spans="1:57" x14ac:dyDescent="0.25">
      <c r="A962" s="9" t="s">
        <v>706</v>
      </c>
      <c r="B962" s="38">
        <v>73</v>
      </c>
      <c r="C962" s="39" t="s">
        <v>823</v>
      </c>
      <c r="D962" s="62" t="s">
        <v>91</v>
      </c>
      <c r="E962" s="3">
        <f>59+45/60+32/3600</f>
        <v>59.75888888888889</v>
      </c>
      <c r="F962" s="3">
        <f>19+19/60+0/3600</f>
        <v>19.316666666666666</v>
      </c>
      <c r="G962" s="5"/>
      <c r="H962" s="9" t="s">
        <v>150</v>
      </c>
      <c r="I962" s="7" t="s">
        <v>169</v>
      </c>
      <c r="J962" s="7" t="s">
        <v>169</v>
      </c>
      <c r="K962" s="9" t="s">
        <v>5</v>
      </c>
      <c r="L962" s="7" t="s">
        <v>2043</v>
      </c>
      <c r="M962" s="7" t="s">
        <v>2653</v>
      </c>
      <c r="AR962" s="19" t="s">
        <v>160</v>
      </c>
      <c r="AS962" s="19" t="s">
        <v>160</v>
      </c>
      <c r="BB962" s="19"/>
      <c r="BC962" s="19"/>
      <c r="BD962" s="19"/>
      <c r="BE962" s="19"/>
    </row>
    <row r="963" spans="1:57" s="94" customFormat="1" x14ac:dyDescent="0.25">
      <c r="A963" s="9" t="s">
        <v>707</v>
      </c>
      <c r="B963" s="39" t="s">
        <v>506</v>
      </c>
      <c r="C963" s="38" t="s">
        <v>919</v>
      </c>
      <c r="D963" s="40" t="s">
        <v>507</v>
      </c>
      <c r="E963" s="46" t="s">
        <v>2218</v>
      </c>
      <c r="F963" s="46" t="s">
        <v>2219</v>
      </c>
      <c r="G963" s="40"/>
      <c r="H963" s="9" t="s">
        <v>150</v>
      </c>
      <c r="I963" s="41" t="s">
        <v>169</v>
      </c>
      <c r="J963" s="41" t="s">
        <v>169</v>
      </c>
      <c r="K963" s="40" t="s">
        <v>5</v>
      </c>
      <c r="L963" s="41" t="s">
        <v>2043</v>
      </c>
      <c r="M963" s="7" t="s">
        <v>2653</v>
      </c>
      <c r="N963" s="19"/>
      <c r="O963" s="19"/>
      <c r="P963" s="19"/>
      <c r="Q963" s="19"/>
      <c r="R963" s="19"/>
      <c r="S963" s="19"/>
      <c r="T963" s="19"/>
      <c r="U963" s="19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2"/>
      <c r="AJ963" s="42"/>
      <c r="AK963" s="42"/>
      <c r="AL963" s="42"/>
      <c r="AM963" s="42"/>
      <c r="AN963" s="42"/>
      <c r="AO963" s="42"/>
      <c r="AP963" s="42"/>
      <c r="AQ963" s="42"/>
      <c r="AR963" s="42" t="s">
        <v>160</v>
      </c>
      <c r="AS963" s="42" t="s">
        <v>160</v>
      </c>
      <c r="AT963" s="19"/>
      <c r="AU963" s="19"/>
      <c r="AV963" s="19"/>
      <c r="AW963" s="19"/>
      <c r="AX963" s="19"/>
      <c r="AY963" s="19"/>
      <c r="AZ963" s="42"/>
      <c r="BA963" s="42"/>
      <c r="BB963" s="42"/>
      <c r="BC963" s="42"/>
      <c r="BD963" s="42"/>
      <c r="BE963" s="42"/>
    </row>
    <row r="964" spans="1:57" x14ac:dyDescent="0.25">
      <c r="A964" s="114" t="s">
        <v>2773</v>
      </c>
      <c r="B964" s="110" t="s">
        <v>3020</v>
      </c>
      <c r="C964" s="109" t="s">
        <v>919</v>
      </c>
      <c r="D964" s="153" t="s">
        <v>3021</v>
      </c>
      <c r="E964" s="93">
        <f>65+11/60+38.3388/3600</f>
        <v>65.193983000000003</v>
      </c>
      <c r="F964" s="93">
        <f>21+34/60+57.5976/3600</f>
        <v>21.582666</v>
      </c>
      <c r="G964" s="93"/>
      <c r="H964" s="94" t="s">
        <v>150</v>
      </c>
      <c r="I964" s="102" t="s">
        <v>169</v>
      </c>
      <c r="J964" s="102" t="s">
        <v>169</v>
      </c>
      <c r="K964" s="102" t="s">
        <v>5</v>
      </c>
      <c r="L964" s="102" t="s">
        <v>2043</v>
      </c>
      <c r="M964" s="105" t="s">
        <v>2653</v>
      </c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  <c r="Z964" s="108"/>
      <c r="AA964" s="108"/>
      <c r="AB964" s="108"/>
      <c r="AC964" s="108"/>
      <c r="AD964" s="108"/>
      <c r="AE964" s="108"/>
      <c r="AF964" s="108"/>
      <c r="AG964" s="108"/>
      <c r="AH964" s="108"/>
      <c r="AI964" s="108"/>
      <c r="AJ964" s="108"/>
      <c r="AK964" s="108"/>
      <c r="AL964" s="108"/>
      <c r="AM964" s="108"/>
      <c r="AN964" s="108"/>
      <c r="AO964" s="108"/>
      <c r="AP964" s="108"/>
      <c r="AQ964" s="108"/>
      <c r="AR964" s="108" t="s">
        <v>160</v>
      </c>
      <c r="AS964" s="108" t="s">
        <v>160</v>
      </c>
      <c r="AT964" s="108"/>
      <c r="AU964" s="108"/>
      <c r="AV964" s="108"/>
      <c r="AW964" s="108"/>
      <c r="AX964" s="108"/>
      <c r="AY964" s="108"/>
      <c r="AZ964" s="108"/>
      <c r="BA964" s="108"/>
      <c r="BB964" s="108"/>
      <c r="BC964" s="108"/>
      <c r="BD964" s="108"/>
      <c r="BE964" s="108"/>
    </row>
    <row r="965" spans="1:57" x14ac:dyDescent="0.25">
      <c r="A965" s="6" t="s">
        <v>8</v>
      </c>
      <c r="B965" s="23">
        <v>35206</v>
      </c>
      <c r="C965" s="38" t="s">
        <v>919</v>
      </c>
      <c r="D965" s="24" t="s">
        <v>824</v>
      </c>
      <c r="E965" s="5">
        <f>65+11/60+38.3388/3600</f>
        <v>65.193983000000003</v>
      </c>
      <c r="F965" s="5">
        <f>21+34/60+57.5976/3600</f>
        <v>21.582666</v>
      </c>
      <c r="G965" s="5"/>
      <c r="H965" s="9" t="s">
        <v>150</v>
      </c>
      <c r="I965" s="24" t="s">
        <v>169</v>
      </c>
      <c r="J965" s="24" t="s">
        <v>169</v>
      </c>
      <c r="K965" s="24" t="s">
        <v>5</v>
      </c>
      <c r="L965" s="24" t="s">
        <v>2043</v>
      </c>
      <c r="M965" s="7" t="s">
        <v>2653</v>
      </c>
      <c r="AR965" s="19" t="s">
        <v>160</v>
      </c>
      <c r="AS965" s="19" t="s">
        <v>160</v>
      </c>
      <c r="BB965" s="19"/>
      <c r="BC965" s="19"/>
      <c r="BD965" s="19"/>
      <c r="BE965" s="19"/>
    </row>
    <row r="966" spans="1:57" x14ac:dyDescent="0.25">
      <c r="A966" s="9" t="s">
        <v>706</v>
      </c>
      <c r="B966" s="38">
        <v>74</v>
      </c>
      <c r="C966" s="38" t="s">
        <v>919</v>
      </c>
      <c r="D966" s="62" t="s">
        <v>92</v>
      </c>
      <c r="E966" s="3">
        <f>65+11/60+38/3600</f>
        <v>65.193888888888893</v>
      </c>
      <c r="F966" s="3">
        <f>21+34/60+58/3600</f>
        <v>21.582777777777778</v>
      </c>
      <c r="G966" s="5"/>
      <c r="H966" s="9" t="s">
        <v>150</v>
      </c>
      <c r="I966" s="7" t="s">
        <v>169</v>
      </c>
      <c r="J966" s="7" t="s">
        <v>169</v>
      </c>
      <c r="K966" s="9" t="s">
        <v>5</v>
      </c>
      <c r="L966" s="7" t="s">
        <v>2043</v>
      </c>
      <c r="M966" s="7" t="s">
        <v>2653</v>
      </c>
      <c r="AR966" s="19" t="s">
        <v>160</v>
      </c>
      <c r="AS966" s="19" t="s">
        <v>160</v>
      </c>
      <c r="BB966" s="19"/>
      <c r="BC966" s="19"/>
      <c r="BD966" s="19"/>
      <c r="BE966" s="19"/>
    </row>
    <row r="967" spans="1:57" x14ac:dyDescent="0.25">
      <c r="A967" s="9" t="s">
        <v>8</v>
      </c>
      <c r="B967" s="27">
        <v>37101</v>
      </c>
      <c r="C967" s="28" t="s">
        <v>1969</v>
      </c>
      <c r="D967" s="28" t="s">
        <v>1714</v>
      </c>
      <c r="E967" s="25">
        <v>65.7333</v>
      </c>
      <c r="F967" s="25">
        <v>23.366700000000002</v>
      </c>
      <c r="H967" s="9" t="s">
        <v>150</v>
      </c>
      <c r="I967" s="9" t="s">
        <v>8</v>
      </c>
      <c r="J967" s="7" t="s">
        <v>8</v>
      </c>
      <c r="K967" s="6" t="s">
        <v>2455</v>
      </c>
      <c r="L967" s="7" t="s">
        <v>2027</v>
      </c>
      <c r="M967" s="28" t="s">
        <v>717</v>
      </c>
      <c r="N967" s="19" t="s">
        <v>1811</v>
      </c>
      <c r="O967" s="22"/>
      <c r="T967" s="7"/>
      <c r="X967" s="19" t="s">
        <v>160</v>
      </c>
      <c r="BA967" s="7"/>
      <c r="BB967" s="7"/>
      <c r="BC967" s="7"/>
      <c r="BD967" s="7"/>
      <c r="BE967" s="7"/>
    </row>
    <row r="968" spans="1:57" s="94" customFormat="1" x14ac:dyDescent="0.25">
      <c r="A968" s="9" t="s">
        <v>707</v>
      </c>
      <c r="B968" s="39" t="s">
        <v>508</v>
      </c>
      <c r="C968" s="39" t="s">
        <v>825</v>
      </c>
      <c r="D968" s="40" t="s">
        <v>509</v>
      </c>
      <c r="E968" s="46" t="s">
        <v>2148</v>
      </c>
      <c r="F968" s="46" t="s">
        <v>2149</v>
      </c>
      <c r="G968" s="40"/>
      <c r="H968" s="9" t="s">
        <v>150</v>
      </c>
      <c r="I968" s="41" t="s">
        <v>169</v>
      </c>
      <c r="J968" s="41" t="s">
        <v>169</v>
      </c>
      <c r="K968" s="40" t="s">
        <v>5</v>
      </c>
      <c r="L968" s="41" t="s">
        <v>2043</v>
      </c>
      <c r="M968" s="7" t="s">
        <v>2653</v>
      </c>
      <c r="N968" s="19"/>
      <c r="O968" s="19"/>
      <c r="P968" s="19"/>
      <c r="Q968" s="19"/>
      <c r="R968" s="19"/>
      <c r="S968" s="19"/>
      <c r="T968" s="19"/>
      <c r="U968" s="19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2"/>
      <c r="AJ968" s="42"/>
      <c r="AK968" s="42"/>
      <c r="AL968" s="42"/>
      <c r="AM968" s="42"/>
      <c r="AN968" s="42"/>
      <c r="AO968" s="42"/>
      <c r="AP968" s="42"/>
      <c r="AQ968" s="42"/>
      <c r="AR968" s="42" t="s">
        <v>160</v>
      </c>
      <c r="AS968" s="42" t="s">
        <v>160</v>
      </c>
      <c r="AT968" s="19"/>
      <c r="AU968" s="19"/>
      <c r="AV968" s="19"/>
      <c r="AW968" s="19"/>
      <c r="AX968" s="19"/>
      <c r="AY968" s="19"/>
      <c r="AZ968" s="42"/>
      <c r="BA968" s="42"/>
      <c r="BB968" s="42"/>
      <c r="BC968" s="42"/>
      <c r="BD968" s="42"/>
      <c r="BE968" s="42"/>
    </row>
    <row r="969" spans="1:57" x14ac:dyDescent="0.25">
      <c r="A969" s="114" t="s">
        <v>2773</v>
      </c>
      <c r="B969" s="110" t="s">
        <v>3022</v>
      </c>
      <c r="C969" s="115" t="s">
        <v>825</v>
      </c>
      <c r="D969" s="153" t="s">
        <v>93</v>
      </c>
      <c r="E969" s="93">
        <f>59+15/60+3.6/3600</f>
        <v>59.250999999999998</v>
      </c>
      <c r="F969" s="93">
        <f>19+0/60+4.61988/3600</f>
        <v>19.001283300000001</v>
      </c>
      <c r="G969" s="93"/>
      <c r="H969" s="94" t="s">
        <v>150</v>
      </c>
      <c r="I969" s="102" t="s">
        <v>169</v>
      </c>
      <c r="J969" s="102" t="s">
        <v>169</v>
      </c>
      <c r="K969" s="102" t="s">
        <v>5</v>
      </c>
      <c r="L969" s="102" t="s">
        <v>2043</v>
      </c>
      <c r="M969" s="105" t="s">
        <v>2653</v>
      </c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  <c r="Z969" s="108"/>
      <c r="AA969" s="108"/>
      <c r="AB969" s="108"/>
      <c r="AC969" s="108"/>
      <c r="AD969" s="108"/>
      <c r="AE969" s="108"/>
      <c r="AF969" s="108"/>
      <c r="AG969" s="108"/>
      <c r="AH969" s="108"/>
      <c r="AI969" s="108"/>
      <c r="AJ969" s="108"/>
      <c r="AK969" s="108"/>
      <c r="AL969" s="108"/>
      <c r="AM969" s="108"/>
      <c r="AN969" s="108"/>
      <c r="AO969" s="108"/>
      <c r="AP969" s="108"/>
      <c r="AQ969" s="108"/>
      <c r="AR969" s="108" t="s">
        <v>160</v>
      </c>
      <c r="AS969" s="108" t="s">
        <v>160</v>
      </c>
      <c r="AT969" s="108"/>
      <c r="AU969" s="108"/>
      <c r="AV969" s="108"/>
      <c r="AW969" s="108"/>
      <c r="AX969" s="108"/>
      <c r="AY969" s="108"/>
      <c r="AZ969" s="108"/>
      <c r="BA969" s="108"/>
      <c r="BB969" s="108"/>
      <c r="BC969" s="108"/>
      <c r="BD969" s="108"/>
      <c r="BE969" s="108"/>
    </row>
    <row r="970" spans="1:57" x14ac:dyDescent="0.25">
      <c r="A970" s="6" t="s">
        <v>8</v>
      </c>
      <c r="B970" s="23">
        <v>35107</v>
      </c>
      <c r="C970" s="39" t="s">
        <v>825</v>
      </c>
      <c r="D970" s="24" t="s">
        <v>825</v>
      </c>
      <c r="E970" s="5">
        <f>59+15/60+3.6/3600</f>
        <v>59.250999999999998</v>
      </c>
      <c r="F970" s="5">
        <f>19+0/60+4.61988/3600</f>
        <v>19.001283300000001</v>
      </c>
      <c r="G970" s="5"/>
      <c r="H970" s="9" t="s">
        <v>150</v>
      </c>
      <c r="I970" s="24" t="s">
        <v>169</v>
      </c>
      <c r="J970" s="24" t="s">
        <v>169</v>
      </c>
      <c r="K970" s="24" t="s">
        <v>5</v>
      </c>
      <c r="L970" s="24" t="s">
        <v>2043</v>
      </c>
      <c r="M970" s="7" t="s">
        <v>2653</v>
      </c>
      <c r="AR970" s="19" t="s">
        <v>160</v>
      </c>
      <c r="AS970" s="19" t="s">
        <v>160</v>
      </c>
      <c r="BB970" s="19"/>
      <c r="BC970" s="19"/>
      <c r="BD970" s="19"/>
      <c r="BE970" s="19"/>
    </row>
    <row r="971" spans="1:57" x14ac:dyDescent="0.25">
      <c r="A971" s="9" t="s">
        <v>706</v>
      </c>
      <c r="B971" s="38">
        <v>75</v>
      </c>
      <c r="C971" s="39" t="s">
        <v>825</v>
      </c>
      <c r="D971" s="62" t="s">
        <v>93</v>
      </c>
      <c r="E971" s="3">
        <f>59+15/60+4/3600</f>
        <v>59.251111111111108</v>
      </c>
      <c r="F971" s="3">
        <f>19+0/60+46/3600</f>
        <v>19.012777777777778</v>
      </c>
      <c r="G971" s="5"/>
      <c r="H971" s="9" t="s">
        <v>150</v>
      </c>
      <c r="I971" s="7" t="s">
        <v>169</v>
      </c>
      <c r="J971" s="7" t="s">
        <v>169</v>
      </c>
      <c r="K971" s="9" t="s">
        <v>5</v>
      </c>
      <c r="L971" s="7" t="s">
        <v>2043</v>
      </c>
      <c r="M971" s="7" t="s">
        <v>2653</v>
      </c>
      <c r="AR971" s="19" t="s">
        <v>160</v>
      </c>
      <c r="AS971" s="19" t="s">
        <v>160</v>
      </c>
      <c r="BB971" s="19"/>
      <c r="BC971" s="19"/>
      <c r="BD971" s="19"/>
      <c r="BE971" s="19"/>
    </row>
    <row r="972" spans="1:57" s="105" customFormat="1" x14ac:dyDescent="0.25">
      <c r="A972" s="9" t="s">
        <v>707</v>
      </c>
      <c r="B972" s="39" t="s">
        <v>510</v>
      </c>
      <c r="C972" s="39" t="s">
        <v>917</v>
      </c>
      <c r="D972" s="40" t="s">
        <v>511</v>
      </c>
      <c r="E972" s="46" t="s">
        <v>512</v>
      </c>
      <c r="F972" s="46" t="s">
        <v>513</v>
      </c>
      <c r="G972" s="40"/>
      <c r="H972" s="9" t="s">
        <v>150</v>
      </c>
      <c r="I972" s="41" t="s">
        <v>169</v>
      </c>
      <c r="J972" s="41" t="s">
        <v>169</v>
      </c>
      <c r="K972" s="40" t="s">
        <v>5</v>
      </c>
      <c r="L972" s="41" t="s">
        <v>2043</v>
      </c>
      <c r="M972" s="7" t="s">
        <v>2653</v>
      </c>
      <c r="N972" s="19"/>
      <c r="O972" s="19"/>
      <c r="P972" s="19"/>
      <c r="Q972" s="19"/>
      <c r="R972" s="19"/>
      <c r="S972" s="19"/>
      <c r="T972" s="19"/>
      <c r="U972" s="19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2"/>
      <c r="AJ972" s="42"/>
      <c r="AK972" s="42"/>
      <c r="AL972" s="42"/>
      <c r="AM972" s="42"/>
      <c r="AN972" s="42"/>
      <c r="AO972" s="42"/>
      <c r="AP972" s="42"/>
      <c r="AQ972" s="42"/>
      <c r="AR972" s="42" t="s">
        <v>160</v>
      </c>
      <c r="AS972" s="42" t="s">
        <v>160</v>
      </c>
      <c r="AT972" s="19"/>
      <c r="AU972" s="19"/>
      <c r="AV972" s="19"/>
      <c r="AW972" s="19"/>
      <c r="AX972" s="19"/>
      <c r="AY972" s="19"/>
      <c r="AZ972" s="42"/>
      <c r="BA972" s="42"/>
      <c r="BB972" s="42"/>
      <c r="BC972" s="42"/>
      <c r="BD972" s="42"/>
      <c r="BE972" s="42"/>
    </row>
    <row r="973" spans="1:57" s="7" customFormat="1" x14ac:dyDescent="0.25">
      <c r="A973" s="105" t="s">
        <v>2773</v>
      </c>
      <c r="B973" s="105" t="s">
        <v>3023</v>
      </c>
      <c r="C973" s="105" t="s">
        <v>917</v>
      </c>
      <c r="D973" s="153" t="s">
        <v>94</v>
      </c>
      <c r="E973" s="93">
        <f>63+39/60+19.6676/3600</f>
        <v>63.655463222222224</v>
      </c>
      <c r="F973" s="82">
        <f>20+20/60+24.36/3600</f>
        <v>20.3401</v>
      </c>
      <c r="G973" s="93"/>
      <c r="H973" s="105" t="s">
        <v>150</v>
      </c>
      <c r="I973" s="93" t="s">
        <v>169</v>
      </c>
      <c r="J973" s="93" t="s">
        <v>169</v>
      </c>
      <c r="K973" s="105" t="s">
        <v>5</v>
      </c>
      <c r="L973" s="105" t="s">
        <v>2043</v>
      </c>
      <c r="M973" s="105" t="s">
        <v>2653</v>
      </c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  <c r="Z973" s="108"/>
      <c r="AA973" s="108"/>
      <c r="AB973" s="108"/>
      <c r="AC973" s="108"/>
      <c r="AD973" s="108"/>
      <c r="AE973" s="108"/>
      <c r="AF973" s="108"/>
      <c r="AG973" s="108"/>
      <c r="AH973" s="108"/>
      <c r="AI973" s="108"/>
      <c r="AJ973" s="108"/>
      <c r="AK973" s="108"/>
      <c r="AL973" s="108"/>
      <c r="AM973" s="108"/>
      <c r="AN973" s="108"/>
      <c r="AO973" s="108"/>
      <c r="AP973" s="108"/>
      <c r="AQ973" s="108"/>
      <c r="AR973" s="108" t="s">
        <v>160</v>
      </c>
      <c r="AS973" s="108" t="s">
        <v>160</v>
      </c>
      <c r="AT973" s="108"/>
      <c r="AU973" s="108"/>
      <c r="AV973" s="108"/>
      <c r="AW973" s="108"/>
      <c r="AX973" s="108"/>
      <c r="AY973" s="108"/>
      <c r="AZ973" s="108"/>
      <c r="BA973" s="108"/>
      <c r="BB973" s="108"/>
      <c r="BC973" s="108"/>
      <c r="BD973" s="108"/>
      <c r="BE973" s="108"/>
    </row>
    <row r="974" spans="1:57" x14ac:dyDescent="0.25">
      <c r="A974" s="7" t="s">
        <v>8</v>
      </c>
      <c r="B974" s="33" t="s">
        <v>875</v>
      </c>
      <c r="C974" s="7" t="s">
        <v>917</v>
      </c>
      <c r="D974" s="7" t="s">
        <v>917</v>
      </c>
      <c r="E974" s="5">
        <f>63+39/60+19.6676/3600</f>
        <v>63.655463222222224</v>
      </c>
      <c r="F974" s="3">
        <f>20+20/60+24.36/3600</f>
        <v>20.3401</v>
      </c>
      <c r="G974" s="5"/>
      <c r="H974" s="7" t="s">
        <v>150</v>
      </c>
      <c r="I974" s="5" t="s">
        <v>169</v>
      </c>
      <c r="J974" s="5" t="s">
        <v>169</v>
      </c>
      <c r="K974" s="7" t="s">
        <v>5</v>
      </c>
      <c r="L974" s="7" t="s">
        <v>2043</v>
      </c>
      <c r="M974" s="7" t="s">
        <v>2653</v>
      </c>
      <c r="AR974" s="19" t="s">
        <v>160</v>
      </c>
      <c r="AS974" s="19" t="s">
        <v>160</v>
      </c>
      <c r="BB974" s="19"/>
      <c r="BC974" s="19"/>
      <c r="BD974" s="19"/>
      <c r="BE974" s="19"/>
    </row>
    <row r="975" spans="1:57" x14ac:dyDescent="0.25">
      <c r="A975" s="9" t="s">
        <v>706</v>
      </c>
      <c r="B975" s="38">
        <v>57</v>
      </c>
      <c r="C975" s="38" t="s">
        <v>917</v>
      </c>
      <c r="D975" s="62" t="s">
        <v>94</v>
      </c>
      <c r="E975" s="3">
        <f>63+39/60+20/3600</f>
        <v>63.655555555555551</v>
      </c>
      <c r="F975" s="3">
        <f>20+20/60+24/3600</f>
        <v>20.34</v>
      </c>
      <c r="H975" s="9" t="s">
        <v>150</v>
      </c>
      <c r="I975" s="7" t="s">
        <v>169</v>
      </c>
      <c r="J975" s="7" t="s">
        <v>169</v>
      </c>
      <c r="K975" s="9" t="s">
        <v>5</v>
      </c>
      <c r="L975" s="7" t="s">
        <v>2043</v>
      </c>
      <c r="M975" s="7" t="s">
        <v>2653</v>
      </c>
      <c r="AR975" s="19" t="s">
        <v>160</v>
      </c>
      <c r="AS975" s="19" t="s">
        <v>160</v>
      </c>
      <c r="BB975" s="19"/>
      <c r="BC975" s="19"/>
      <c r="BD975" s="19"/>
      <c r="BE975" s="19"/>
    </row>
    <row r="976" spans="1:57" x14ac:dyDescent="0.25">
      <c r="A976" s="9" t="s">
        <v>707</v>
      </c>
      <c r="B976" s="137" t="s">
        <v>517</v>
      </c>
      <c r="C976" s="23" t="s">
        <v>157</v>
      </c>
      <c r="D976" s="40" t="s">
        <v>518</v>
      </c>
      <c r="E976" s="46" t="s">
        <v>520</v>
      </c>
      <c r="F976" s="46" t="s">
        <v>519</v>
      </c>
      <c r="G976" s="40"/>
      <c r="H976" s="9" t="s">
        <v>150</v>
      </c>
      <c r="I976" s="41" t="s">
        <v>8</v>
      </c>
      <c r="J976" s="41" t="s">
        <v>8</v>
      </c>
      <c r="K976" s="40" t="s">
        <v>6</v>
      </c>
      <c r="L976" s="41" t="s">
        <v>2030</v>
      </c>
      <c r="M976" s="7" t="s">
        <v>2653</v>
      </c>
      <c r="N976" s="42" t="s">
        <v>1112</v>
      </c>
      <c r="O976" s="22"/>
      <c r="P976" s="42" t="s">
        <v>160</v>
      </c>
      <c r="Q976" s="44" t="s">
        <v>1176</v>
      </c>
      <c r="R976" s="44" t="s">
        <v>1584</v>
      </c>
      <c r="S976" s="19" t="s">
        <v>160</v>
      </c>
      <c r="T976" s="19" t="s">
        <v>160</v>
      </c>
      <c r="U976" s="19">
        <v>1</v>
      </c>
      <c r="V976" s="42" t="s">
        <v>160</v>
      </c>
      <c r="W976" s="42" t="s">
        <v>160</v>
      </c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2"/>
      <c r="AJ976" s="42"/>
      <c r="AK976" s="42"/>
      <c r="AL976" s="42"/>
      <c r="AM976" s="42"/>
      <c r="AN976" s="42"/>
      <c r="AO976" s="42"/>
      <c r="AP976" s="42"/>
      <c r="AQ976" s="42"/>
      <c r="AR976" s="42"/>
      <c r="AS976" s="42"/>
      <c r="AZ976" s="42"/>
      <c r="BA976" s="42"/>
      <c r="BB976" s="42"/>
      <c r="BC976" s="42"/>
      <c r="BD976" s="42"/>
      <c r="BE976" s="42"/>
    </row>
    <row r="977" spans="1:57" x14ac:dyDescent="0.25">
      <c r="A977" s="53" t="s">
        <v>2763</v>
      </c>
      <c r="B977" s="143">
        <v>2105</v>
      </c>
      <c r="C977" s="85" t="s">
        <v>157</v>
      </c>
      <c r="D977" s="85" t="s">
        <v>157</v>
      </c>
      <c r="E977" s="35">
        <v>57.249721999999998</v>
      </c>
      <c r="F977" s="35">
        <v>12.112500000000001</v>
      </c>
      <c r="G977" s="85"/>
      <c r="H977" s="9" t="s">
        <v>150</v>
      </c>
      <c r="I977" s="14" t="s">
        <v>8</v>
      </c>
      <c r="J977" s="85" t="s">
        <v>8</v>
      </c>
      <c r="K977" s="85" t="s">
        <v>6</v>
      </c>
      <c r="L977" s="85" t="s">
        <v>2030</v>
      </c>
      <c r="M977" s="85" t="s">
        <v>2653</v>
      </c>
      <c r="N977" s="85" t="s">
        <v>1112</v>
      </c>
      <c r="O977" s="85"/>
      <c r="P977" s="89" t="s">
        <v>160</v>
      </c>
      <c r="Q977" s="44" t="s">
        <v>1176</v>
      </c>
      <c r="R977" s="44" t="s">
        <v>1584</v>
      </c>
      <c r="S977" s="19" t="s">
        <v>160</v>
      </c>
      <c r="T977" s="19" t="s">
        <v>160</v>
      </c>
      <c r="U977" s="19">
        <v>1</v>
      </c>
      <c r="V977" s="42" t="s">
        <v>160</v>
      </c>
      <c r="W977" s="42" t="s">
        <v>160</v>
      </c>
      <c r="X977" s="85"/>
      <c r="Y977" s="85"/>
      <c r="Z977" s="85"/>
      <c r="AA977" s="85"/>
      <c r="AB977" s="85"/>
      <c r="AC977" s="85"/>
      <c r="AD977" s="85"/>
      <c r="AE977" s="85"/>
      <c r="AF977" s="85"/>
      <c r="AG977" s="85"/>
      <c r="AH977" s="85"/>
      <c r="AI977" s="85"/>
      <c r="AJ977" s="85"/>
      <c r="AK977" s="85"/>
      <c r="AL977" s="85"/>
      <c r="AM977" s="85"/>
      <c r="AN977" s="85"/>
      <c r="AO977" s="85"/>
      <c r="AP977" s="85"/>
      <c r="AQ977" s="85"/>
      <c r="AR977" s="85"/>
      <c r="AS977" s="85"/>
      <c r="AT977" s="85"/>
      <c r="AU977" s="85"/>
      <c r="AV977" s="85"/>
      <c r="AW977" s="85"/>
      <c r="AX977" s="85"/>
      <c r="AY977" s="85"/>
      <c r="AZ977" s="85"/>
      <c r="BA977" s="85"/>
      <c r="BB977" s="85"/>
      <c r="BC977" s="85"/>
      <c r="BD977" s="85"/>
      <c r="BE977" s="85"/>
    </row>
    <row r="978" spans="1:57" s="94" customFormat="1" x14ac:dyDescent="0.25">
      <c r="A978" s="94" t="s">
        <v>2773</v>
      </c>
      <c r="B978" s="139" t="s">
        <v>2811</v>
      </c>
      <c r="C978" s="110" t="s">
        <v>157</v>
      </c>
      <c r="D978" s="153" t="s">
        <v>157</v>
      </c>
      <c r="E978" s="101">
        <f>57+14/60+59.12/3600</f>
        <v>57.249755555555559</v>
      </c>
      <c r="F978" s="101">
        <f>12+6/60+45.11/3600</f>
        <v>12.112530555555555</v>
      </c>
      <c r="G978" s="81"/>
      <c r="H978" s="105" t="s">
        <v>150</v>
      </c>
      <c r="I978" s="105" t="s">
        <v>8</v>
      </c>
      <c r="J978" s="105" t="s">
        <v>8</v>
      </c>
      <c r="K978" s="105" t="s">
        <v>6</v>
      </c>
      <c r="L978" s="105" t="s">
        <v>2030</v>
      </c>
      <c r="M978" s="105" t="s">
        <v>2653</v>
      </c>
      <c r="N978" s="106" t="s">
        <v>1112</v>
      </c>
      <c r="O978" s="104"/>
      <c r="P978" s="106" t="s">
        <v>160</v>
      </c>
      <c r="Q978" s="107" t="s">
        <v>1176</v>
      </c>
      <c r="R978" s="107" t="s">
        <v>1584</v>
      </c>
      <c r="S978" s="108" t="s">
        <v>160</v>
      </c>
      <c r="T978" s="108" t="s">
        <v>160</v>
      </c>
      <c r="U978" s="106">
        <v>1</v>
      </c>
      <c r="V978" s="103" t="s">
        <v>160</v>
      </c>
      <c r="W978" s="103" t="s">
        <v>160</v>
      </c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  <c r="BD978" s="103"/>
      <c r="BE978" s="103"/>
    </row>
    <row r="979" spans="1:57" x14ac:dyDescent="0.25">
      <c r="A979" s="9" t="s">
        <v>8</v>
      </c>
      <c r="B979" s="142" t="s">
        <v>2943</v>
      </c>
      <c r="C979" s="23" t="s">
        <v>157</v>
      </c>
      <c r="D979" t="s">
        <v>157</v>
      </c>
      <c r="E979" s="193">
        <v>57.2498</v>
      </c>
      <c r="F979" s="193">
        <v>12.1126</v>
      </c>
      <c r="G979" s="43"/>
      <c r="H979" s="7" t="s">
        <v>150</v>
      </c>
      <c r="I979" s="7" t="s">
        <v>8</v>
      </c>
      <c r="J979" s="7" t="s">
        <v>8</v>
      </c>
      <c r="K979" s="7" t="s">
        <v>6</v>
      </c>
      <c r="L979" s="7" t="s">
        <v>2030</v>
      </c>
      <c r="M979" s="7" t="s">
        <v>2653</v>
      </c>
      <c r="N979" s="42" t="s">
        <v>1112</v>
      </c>
      <c r="O979" s="22"/>
      <c r="P979" s="42" t="s">
        <v>160</v>
      </c>
      <c r="Q979" s="44" t="s">
        <v>1176</v>
      </c>
      <c r="R979" s="44" t="s">
        <v>1584</v>
      </c>
      <c r="S979" s="19" t="s">
        <v>160</v>
      </c>
      <c r="T979" s="19" t="s">
        <v>160</v>
      </c>
      <c r="U979" s="42">
        <v>1</v>
      </c>
      <c r="V979" s="20" t="s">
        <v>160</v>
      </c>
      <c r="W979" s="20" t="s">
        <v>160</v>
      </c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  <c r="AQ979" s="20"/>
      <c r="AR979" s="20"/>
      <c r="AS979" s="20"/>
      <c r="AT979" s="20"/>
      <c r="AU979" s="20"/>
      <c r="AV979" s="20"/>
      <c r="AW979" s="20"/>
      <c r="AX979" s="20"/>
      <c r="AY979" s="20"/>
      <c r="AZ979" s="20"/>
      <c r="BA979" s="20"/>
      <c r="BB979" s="20"/>
      <c r="BC979" s="20"/>
      <c r="BD979" s="20"/>
      <c r="BE979" s="20"/>
    </row>
    <row r="980" spans="1:57" x14ac:dyDescent="0.25">
      <c r="A980" s="9" t="s">
        <v>706</v>
      </c>
      <c r="B980" s="140">
        <v>76</v>
      </c>
      <c r="C980" s="23" t="s">
        <v>157</v>
      </c>
      <c r="D980" s="62" t="s">
        <v>157</v>
      </c>
      <c r="E980" s="35">
        <v>57.2498</v>
      </c>
      <c r="F980" s="35">
        <v>12.112550000000001</v>
      </c>
      <c r="H980" s="9" t="s">
        <v>150</v>
      </c>
      <c r="I980" s="7" t="s">
        <v>3038</v>
      </c>
      <c r="J980" s="7" t="s">
        <v>708</v>
      </c>
      <c r="K980" s="9" t="s">
        <v>40</v>
      </c>
      <c r="L980" s="7" t="s">
        <v>2054</v>
      </c>
      <c r="M980" s="7" t="s">
        <v>2653</v>
      </c>
      <c r="N980" s="42" t="s">
        <v>1112</v>
      </c>
      <c r="O980" s="22"/>
      <c r="P980" s="42" t="s">
        <v>160</v>
      </c>
      <c r="Q980" s="44" t="s">
        <v>1176</v>
      </c>
      <c r="R980" s="44" t="s">
        <v>1584</v>
      </c>
      <c r="S980" s="19" t="s">
        <v>160</v>
      </c>
      <c r="T980" s="19" t="s">
        <v>160</v>
      </c>
      <c r="U980" s="19">
        <v>1</v>
      </c>
      <c r="V980" s="19" t="s">
        <v>160</v>
      </c>
      <c r="W980" s="19" t="s">
        <v>160</v>
      </c>
      <c r="BB980" s="19"/>
      <c r="BC980" s="19"/>
      <c r="BD980" s="19"/>
      <c r="BE980" s="19"/>
    </row>
    <row r="981" spans="1:57" s="105" customFormat="1" x14ac:dyDescent="0.25">
      <c r="A981" s="9" t="s">
        <v>707</v>
      </c>
      <c r="B981" s="39" t="s">
        <v>514</v>
      </c>
      <c r="C981" s="58" t="s">
        <v>2270</v>
      </c>
      <c r="D981" s="40" t="s">
        <v>515</v>
      </c>
      <c r="E981" s="46" t="s">
        <v>2220</v>
      </c>
      <c r="F981" s="46" t="s">
        <v>2150</v>
      </c>
      <c r="G981" s="40"/>
      <c r="H981" s="9" t="s">
        <v>150</v>
      </c>
      <c r="I981" s="41" t="s">
        <v>516</v>
      </c>
      <c r="J981" s="7" t="s">
        <v>169</v>
      </c>
      <c r="K981" s="40" t="s">
        <v>5</v>
      </c>
      <c r="L981" s="41" t="s">
        <v>2043</v>
      </c>
      <c r="M981" s="7" t="s">
        <v>2653</v>
      </c>
      <c r="N981" s="19"/>
      <c r="O981" s="19"/>
      <c r="P981" s="19"/>
      <c r="Q981" s="19"/>
      <c r="R981" s="19"/>
      <c r="S981" s="19"/>
      <c r="T981" s="19"/>
      <c r="U981" s="19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2"/>
      <c r="AJ981" s="42"/>
      <c r="AK981" s="42"/>
      <c r="AL981" s="42"/>
      <c r="AM981" s="42"/>
      <c r="AN981" s="42"/>
      <c r="AO981" s="42"/>
      <c r="AP981" s="42"/>
      <c r="AQ981" s="42"/>
      <c r="AR981" s="42" t="s">
        <v>160</v>
      </c>
      <c r="AS981" s="42" t="s">
        <v>160</v>
      </c>
      <c r="AT981" s="19"/>
      <c r="AU981" s="19"/>
      <c r="AV981" s="19"/>
      <c r="AW981" s="19"/>
      <c r="AX981" s="19"/>
      <c r="AY981" s="19"/>
      <c r="AZ981" s="42"/>
      <c r="BA981" s="42"/>
      <c r="BB981" s="42"/>
      <c r="BC981" s="42"/>
      <c r="BD981" s="42"/>
      <c r="BE981" s="42"/>
    </row>
    <row r="982" spans="1:57" s="7" customFormat="1" x14ac:dyDescent="0.25">
      <c r="A982" s="105" t="s">
        <v>2773</v>
      </c>
      <c r="B982" s="169" t="s">
        <v>2944</v>
      </c>
      <c r="C982" s="110" t="s">
        <v>2270</v>
      </c>
      <c r="D982" s="153" t="s">
        <v>157</v>
      </c>
      <c r="E982" s="93">
        <f>57+14/60+59.0928/3600</f>
        <v>57.249748000000004</v>
      </c>
      <c r="F982" s="93">
        <f>12+6/60+45.1188/3600</f>
        <v>12.112532999999999</v>
      </c>
      <c r="G982" s="93"/>
      <c r="H982" s="105" t="s">
        <v>150</v>
      </c>
      <c r="I982" s="113" t="s">
        <v>516</v>
      </c>
      <c r="J982" s="105" t="s">
        <v>169</v>
      </c>
      <c r="K982" s="105" t="s">
        <v>5</v>
      </c>
      <c r="L982" s="105" t="s">
        <v>2043</v>
      </c>
      <c r="M982" s="105" t="s">
        <v>2653</v>
      </c>
      <c r="N982" s="106"/>
      <c r="O982" s="104"/>
      <c r="P982" s="106"/>
      <c r="Q982" s="108"/>
      <c r="R982" s="108"/>
      <c r="S982" s="108"/>
      <c r="T982" s="108"/>
      <c r="U982" s="108"/>
      <c r="V982" s="108"/>
      <c r="W982" s="108"/>
      <c r="X982" s="108"/>
      <c r="Y982" s="108"/>
      <c r="Z982" s="108"/>
      <c r="AA982" s="108"/>
      <c r="AB982" s="108"/>
      <c r="AC982" s="108"/>
      <c r="AD982" s="108"/>
      <c r="AE982" s="108"/>
      <c r="AF982" s="108"/>
      <c r="AG982" s="108"/>
      <c r="AH982" s="108"/>
      <c r="AI982" s="108"/>
      <c r="AJ982" s="108"/>
      <c r="AK982" s="108"/>
      <c r="AL982" s="108"/>
      <c r="AM982" s="108"/>
      <c r="AN982" s="108"/>
      <c r="AO982" s="108"/>
      <c r="AP982" s="108"/>
      <c r="AQ982" s="108"/>
      <c r="AR982" s="108" t="s">
        <v>160</v>
      </c>
      <c r="AS982" s="108" t="s">
        <v>160</v>
      </c>
      <c r="AT982" s="108"/>
      <c r="AU982" s="108"/>
      <c r="AV982" s="108"/>
      <c r="AW982" s="108"/>
      <c r="AX982" s="108"/>
      <c r="AY982" s="108"/>
      <c r="AZ982" s="108"/>
      <c r="BA982" s="108"/>
      <c r="BB982" s="108"/>
      <c r="BC982" s="108"/>
      <c r="BD982" s="108"/>
      <c r="BE982" s="108"/>
    </row>
    <row r="983" spans="1:57" x14ac:dyDescent="0.25">
      <c r="A983" s="7" t="s">
        <v>8</v>
      </c>
      <c r="B983" s="69" t="s">
        <v>875</v>
      </c>
      <c r="C983" s="23" t="s">
        <v>2270</v>
      </c>
      <c r="D983" s="7" t="s">
        <v>157</v>
      </c>
      <c r="E983" s="5">
        <f>57+14/60+59.0928/3600</f>
        <v>57.249748000000004</v>
      </c>
      <c r="F983" s="5">
        <f>12+6/60+45.1188/3600</f>
        <v>12.112532999999999</v>
      </c>
      <c r="G983" s="5"/>
      <c r="H983" s="7" t="s">
        <v>150</v>
      </c>
      <c r="I983" s="41" t="s">
        <v>516</v>
      </c>
      <c r="J983" s="7" t="s">
        <v>169</v>
      </c>
      <c r="K983" s="7" t="s">
        <v>5</v>
      </c>
      <c r="L983" s="7" t="s">
        <v>2043</v>
      </c>
      <c r="M983" s="7" t="s">
        <v>2653</v>
      </c>
      <c r="N983" s="42"/>
      <c r="O983" s="22"/>
      <c r="P983" s="42"/>
      <c r="AR983" s="19" t="s">
        <v>160</v>
      </c>
      <c r="AS983" s="19" t="s">
        <v>160</v>
      </c>
      <c r="BB983" s="19"/>
      <c r="BC983" s="19"/>
      <c r="BD983" s="19"/>
      <c r="BE983" s="19"/>
    </row>
    <row r="984" spans="1:57" x14ac:dyDescent="0.25">
      <c r="A984" s="6" t="s">
        <v>8</v>
      </c>
      <c r="B984" s="9">
        <v>72150</v>
      </c>
      <c r="C984" s="9" t="s">
        <v>2260</v>
      </c>
      <c r="D984" s="9" t="s">
        <v>157</v>
      </c>
      <c r="E984" s="3">
        <v>57.253</v>
      </c>
      <c r="F984" s="3">
        <v>12.103199999999999</v>
      </c>
      <c r="G984" s="9">
        <v>10</v>
      </c>
      <c r="H984" s="3" t="s">
        <v>150</v>
      </c>
      <c r="I984" s="6" t="s">
        <v>8</v>
      </c>
      <c r="J984" s="21" t="s">
        <v>8</v>
      </c>
      <c r="K984" s="3" t="s">
        <v>5</v>
      </c>
      <c r="L984" s="5" t="s">
        <v>2028</v>
      </c>
      <c r="M984" s="5" t="s">
        <v>717</v>
      </c>
      <c r="N984" s="19" t="s">
        <v>2575</v>
      </c>
      <c r="O984" s="22"/>
      <c r="P984" s="19" t="s">
        <v>160</v>
      </c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29"/>
      <c r="AQ984" s="29"/>
      <c r="AR984" s="29"/>
      <c r="AS984" s="29"/>
      <c r="AT984" s="19" t="s">
        <v>160</v>
      </c>
      <c r="BB984" s="19"/>
      <c r="BC984" s="19"/>
      <c r="BD984" s="19"/>
      <c r="BE984" s="19"/>
    </row>
    <row r="985" spans="1:57" x14ac:dyDescent="0.25">
      <c r="A985" s="6" t="s">
        <v>8</v>
      </c>
      <c r="B985" s="9">
        <v>72160</v>
      </c>
      <c r="C985" s="9" t="s">
        <v>1493</v>
      </c>
      <c r="D985" s="9" t="s">
        <v>1494</v>
      </c>
      <c r="E985" s="3">
        <v>57.2577</v>
      </c>
      <c r="F985" s="3">
        <v>12.106999999999999</v>
      </c>
      <c r="G985" s="9">
        <v>10</v>
      </c>
      <c r="H985" s="9" t="s">
        <v>150</v>
      </c>
      <c r="I985" s="6" t="s">
        <v>8</v>
      </c>
      <c r="J985" s="21" t="s">
        <v>8</v>
      </c>
      <c r="K985" s="3" t="s">
        <v>5</v>
      </c>
      <c r="L985" s="5" t="s">
        <v>2693</v>
      </c>
      <c r="M985" s="7" t="s">
        <v>717</v>
      </c>
      <c r="N985" s="19" t="s">
        <v>2524</v>
      </c>
      <c r="O985" s="22"/>
      <c r="P985" s="19" t="s">
        <v>160</v>
      </c>
      <c r="AR985" s="19" t="s">
        <v>160</v>
      </c>
      <c r="AT985" s="19" t="s">
        <v>160</v>
      </c>
      <c r="AX985" s="19" t="s">
        <v>160</v>
      </c>
      <c r="BB985" s="19"/>
      <c r="BC985" s="19"/>
      <c r="BD985" s="19"/>
      <c r="BE985" s="19"/>
    </row>
    <row r="986" spans="1:57" x14ac:dyDescent="0.25">
      <c r="A986" s="9" t="s">
        <v>8</v>
      </c>
      <c r="B986" s="27">
        <v>37104</v>
      </c>
      <c r="C986" s="28" t="s">
        <v>1970</v>
      </c>
      <c r="D986" s="28" t="s">
        <v>1495</v>
      </c>
      <c r="E986" s="25">
        <v>65.316699999999997</v>
      </c>
      <c r="F986" s="25">
        <v>22.366700000000002</v>
      </c>
      <c r="H986" s="9" t="s">
        <v>150</v>
      </c>
      <c r="I986" s="9" t="s">
        <v>8</v>
      </c>
      <c r="J986" s="7" t="s">
        <v>8</v>
      </c>
      <c r="K986" s="6" t="s">
        <v>2455</v>
      </c>
      <c r="L986" s="7" t="s">
        <v>2027</v>
      </c>
      <c r="M986" s="28" t="s">
        <v>717</v>
      </c>
      <c r="O986" s="22"/>
      <c r="T986" s="7"/>
      <c r="X986" s="19" t="s">
        <v>160</v>
      </c>
      <c r="BA986" s="7"/>
      <c r="BB986" s="7"/>
      <c r="BC986" s="7"/>
      <c r="BD986" s="7"/>
      <c r="BE986" s="7"/>
    </row>
    <row r="987" spans="1:57" x14ac:dyDescent="0.25">
      <c r="A987" s="6" t="s">
        <v>8</v>
      </c>
      <c r="B987" s="9">
        <v>162790</v>
      </c>
      <c r="C987" s="9" t="s">
        <v>2409</v>
      </c>
      <c r="D987" s="9" t="s">
        <v>1495</v>
      </c>
      <c r="E987" s="3">
        <v>65.314899999999994</v>
      </c>
      <c r="F987" s="3">
        <v>22.374300000000002</v>
      </c>
      <c r="G987" s="9">
        <v>5</v>
      </c>
      <c r="H987" s="3" t="s">
        <v>150</v>
      </c>
      <c r="I987" s="6" t="s">
        <v>8</v>
      </c>
      <c r="J987" s="21" t="s">
        <v>8</v>
      </c>
      <c r="K987" s="3" t="s">
        <v>5</v>
      </c>
      <c r="L987" s="5" t="s">
        <v>174</v>
      </c>
      <c r="M987" s="5" t="s">
        <v>717</v>
      </c>
      <c r="N987" s="19" t="s">
        <v>2594</v>
      </c>
      <c r="O987" s="22"/>
      <c r="P987" s="19" t="s">
        <v>160</v>
      </c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 t="s">
        <v>160</v>
      </c>
      <c r="BB987" s="19"/>
      <c r="BC987" s="19"/>
      <c r="BD987" s="19"/>
      <c r="BE987" s="19"/>
    </row>
    <row r="988" spans="1:57" s="33" customFormat="1" x14ac:dyDescent="0.25">
      <c r="A988" s="32" t="s">
        <v>707</v>
      </c>
      <c r="C988" s="33" t="s">
        <v>1496</v>
      </c>
      <c r="D988" s="33" t="s">
        <v>2713</v>
      </c>
      <c r="E988" s="35"/>
      <c r="F988" s="35"/>
      <c r="H988" s="33" t="s">
        <v>150</v>
      </c>
      <c r="I988" s="21" t="s">
        <v>8</v>
      </c>
      <c r="J988" s="32" t="s">
        <v>8</v>
      </c>
      <c r="K988" s="35" t="s">
        <v>5</v>
      </c>
      <c r="L988" s="35" t="s">
        <v>2043</v>
      </c>
      <c r="M988" s="33" t="s">
        <v>2653</v>
      </c>
      <c r="N988" s="37" t="s">
        <v>2385</v>
      </c>
      <c r="O988" s="67"/>
      <c r="P988" s="37" t="s">
        <v>160</v>
      </c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  <c r="AL988" s="37"/>
      <c r="AM988" s="37"/>
      <c r="AN988" s="37"/>
      <c r="AO988" s="37"/>
      <c r="AP988" s="37"/>
      <c r="AQ988" s="37"/>
      <c r="AR988" s="37" t="s">
        <v>160</v>
      </c>
      <c r="AS988" s="37" t="s">
        <v>160</v>
      </c>
      <c r="AT988" s="37"/>
      <c r="AU988" s="37"/>
      <c r="AV988" s="37"/>
      <c r="AW988" s="37"/>
      <c r="AX988" s="37"/>
      <c r="AY988" s="37"/>
      <c r="AZ988" s="37"/>
      <c r="BA988" s="37"/>
      <c r="BB988" s="37"/>
      <c r="BC988" s="37"/>
      <c r="BD988" s="37"/>
      <c r="BE988" s="37"/>
    </row>
    <row r="989" spans="1:57" s="94" customFormat="1" x14ac:dyDescent="0.25">
      <c r="A989" s="114" t="s">
        <v>2773</v>
      </c>
      <c r="B989" s="94" t="s">
        <v>2965</v>
      </c>
      <c r="C989" s="94" t="s">
        <v>1496</v>
      </c>
      <c r="D989" s="153" t="s">
        <v>1497</v>
      </c>
      <c r="E989" s="82">
        <f>65+18/60+43.56/3600</f>
        <v>65.312100000000001</v>
      </c>
      <c r="F989" s="82">
        <f>22+22/60+15.24/3600</f>
        <v>22.370899999999999</v>
      </c>
      <c r="G989" s="94">
        <v>1.9319999999999999</v>
      </c>
      <c r="H989" s="94" t="s">
        <v>150</v>
      </c>
      <c r="I989" s="122" t="s">
        <v>8</v>
      </c>
      <c r="J989" s="122" t="s">
        <v>8</v>
      </c>
      <c r="K989" s="82" t="s">
        <v>5</v>
      </c>
      <c r="L989" s="93" t="s">
        <v>2681</v>
      </c>
      <c r="M989" s="105" t="s">
        <v>2653</v>
      </c>
      <c r="N989" s="108" t="s">
        <v>2388</v>
      </c>
      <c r="O989" s="104"/>
      <c r="P989" s="108" t="s">
        <v>160</v>
      </c>
      <c r="Q989" s="108"/>
      <c r="R989" s="108"/>
      <c r="S989" s="108"/>
      <c r="T989" s="108"/>
      <c r="U989" s="108"/>
      <c r="V989" s="108"/>
      <c r="W989" s="108"/>
      <c r="X989" s="108"/>
      <c r="Y989" s="108"/>
      <c r="Z989" s="108"/>
      <c r="AA989" s="108"/>
      <c r="AB989" s="108"/>
      <c r="AC989" s="108"/>
      <c r="AD989" s="108"/>
      <c r="AE989" s="108"/>
      <c r="AF989" s="108"/>
      <c r="AG989" s="108"/>
      <c r="AH989" s="108"/>
      <c r="AI989" s="108"/>
      <c r="AJ989" s="108"/>
      <c r="AK989" s="108"/>
      <c r="AL989" s="108"/>
      <c r="AM989" s="108"/>
      <c r="AN989" s="108"/>
      <c r="AO989" s="108"/>
      <c r="AP989" s="108"/>
      <c r="AQ989" s="108"/>
      <c r="AR989" s="108" t="s">
        <v>160</v>
      </c>
      <c r="AS989" s="108" t="s">
        <v>160</v>
      </c>
      <c r="AT989" s="108" t="s">
        <v>160</v>
      </c>
      <c r="AU989" s="108" t="s">
        <v>160</v>
      </c>
      <c r="AV989" s="108"/>
      <c r="AW989" s="108"/>
      <c r="AX989" s="108" t="s">
        <v>160</v>
      </c>
      <c r="AY989" s="108" t="s">
        <v>160</v>
      </c>
      <c r="AZ989" s="108" t="s">
        <v>160</v>
      </c>
      <c r="BA989" s="108" t="s">
        <v>160</v>
      </c>
      <c r="BB989" s="108"/>
      <c r="BC989" s="108"/>
      <c r="BD989" s="108"/>
      <c r="BE989" s="108"/>
    </row>
    <row r="990" spans="1:57" x14ac:dyDescent="0.25">
      <c r="A990" s="6" t="s">
        <v>8</v>
      </c>
      <c r="B990" s="9">
        <v>162790</v>
      </c>
      <c r="C990" s="9" t="s">
        <v>1496</v>
      </c>
      <c r="D990" s="9" t="s">
        <v>1497</v>
      </c>
      <c r="E990" s="3">
        <f>65+18/60+43.56/3600</f>
        <v>65.312100000000001</v>
      </c>
      <c r="F990" s="3">
        <f>22+22/60+15.24/3600</f>
        <v>22.370899999999999</v>
      </c>
      <c r="G990" s="9">
        <v>1.9319999999999999</v>
      </c>
      <c r="H990" s="9" t="s">
        <v>150</v>
      </c>
      <c r="I990" s="21" t="s">
        <v>8</v>
      </c>
      <c r="J990" s="21" t="s">
        <v>8</v>
      </c>
      <c r="K990" s="3" t="s">
        <v>5</v>
      </c>
      <c r="L990" s="5" t="s">
        <v>2681</v>
      </c>
      <c r="M990" s="7" t="s">
        <v>2653</v>
      </c>
      <c r="N990" s="19" t="s">
        <v>2388</v>
      </c>
      <c r="O990" s="22"/>
      <c r="P990" s="19" t="s">
        <v>160</v>
      </c>
      <c r="AR990" s="19" t="s">
        <v>160</v>
      </c>
      <c r="AS990" s="19" t="s">
        <v>160</v>
      </c>
      <c r="AT990" s="19" t="s">
        <v>160</v>
      </c>
      <c r="AU990" s="19" t="s">
        <v>160</v>
      </c>
      <c r="AX990" s="19" t="s">
        <v>160</v>
      </c>
      <c r="AY990" s="19" t="s">
        <v>160</v>
      </c>
      <c r="AZ990" s="19" t="s">
        <v>160</v>
      </c>
      <c r="BA990" s="19" t="s">
        <v>160</v>
      </c>
      <c r="BB990" s="19"/>
      <c r="BC990" s="19"/>
      <c r="BD990" s="19"/>
      <c r="BE990" s="19"/>
    </row>
    <row r="991" spans="1:57" x14ac:dyDescent="0.25">
      <c r="A991" s="9" t="s">
        <v>706</v>
      </c>
      <c r="B991" s="38">
        <v>199</v>
      </c>
      <c r="C991" s="39" t="s">
        <v>1496</v>
      </c>
      <c r="D991" s="62" t="s">
        <v>2769</v>
      </c>
      <c r="E991" s="3">
        <f>65+18/60+43/3600</f>
        <v>65.311944444444435</v>
      </c>
      <c r="F991" s="3">
        <f>22+22/60+15/3600</f>
        <v>22.370833333333334</v>
      </c>
      <c r="G991" s="7"/>
      <c r="H991" s="9" t="s">
        <v>150</v>
      </c>
      <c r="I991" s="7" t="s">
        <v>8</v>
      </c>
      <c r="J991" s="7" t="s">
        <v>8</v>
      </c>
      <c r="K991" s="9" t="s">
        <v>5</v>
      </c>
      <c r="L991" s="7" t="s">
        <v>2043</v>
      </c>
      <c r="M991" s="7" t="s">
        <v>2653</v>
      </c>
      <c r="P991" s="19" t="s">
        <v>160</v>
      </c>
      <c r="AR991" s="19" t="s">
        <v>160</v>
      </c>
      <c r="AS991" s="19" t="s">
        <v>160</v>
      </c>
      <c r="BB991" s="19"/>
      <c r="BC991" s="19"/>
      <c r="BD991" s="19"/>
      <c r="BE991" s="19"/>
    </row>
    <row r="992" spans="1:57" x14ac:dyDescent="0.25">
      <c r="A992" s="6" t="s">
        <v>8</v>
      </c>
      <c r="B992" s="9">
        <v>78310</v>
      </c>
      <c r="C992" s="9" t="s">
        <v>2604</v>
      </c>
      <c r="D992" s="9" t="s">
        <v>2605</v>
      </c>
      <c r="E992" s="3">
        <v>57.506900000000002</v>
      </c>
      <c r="F992" s="3">
        <v>18.453900000000001</v>
      </c>
      <c r="G992" s="9">
        <v>32</v>
      </c>
      <c r="H992" s="9"/>
      <c r="I992" s="6" t="s">
        <v>8</v>
      </c>
      <c r="J992" s="21" t="s">
        <v>8</v>
      </c>
      <c r="K992" s="3" t="s">
        <v>5</v>
      </c>
      <c r="L992" s="5" t="s">
        <v>2028</v>
      </c>
      <c r="M992" s="7" t="s">
        <v>717</v>
      </c>
      <c r="N992" s="19" t="s">
        <v>2606</v>
      </c>
      <c r="O992" s="22"/>
      <c r="P992" s="19" t="s">
        <v>160</v>
      </c>
      <c r="AR992" s="19" t="s">
        <v>160</v>
      </c>
      <c r="AT992" s="19" t="s">
        <v>160</v>
      </c>
      <c r="BB992" s="19"/>
      <c r="BC992" s="19"/>
      <c r="BD992" s="19"/>
      <c r="BE992" s="19"/>
    </row>
    <row r="993" spans="1:57" x14ac:dyDescent="0.25">
      <c r="A993" s="6" t="s">
        <v>8</v>
      </c>
      <c r="B993" s="9">
        <v>78300</v>
      </c>
      <c r="C993" s="9" t="s">
        <v>2607</v>
      </c>
      <c r="D993" s="9" t="s">
        <v>2608</v>
      </c>
      <c r="E993" s="3">
        <v>57.4998</v>
      </c>
      <c r="F993" s="3">
        <v>18.463899999999999</v>
      </c>
      <c r="G993" s="9">
        <v>32</v>
      </c>
      <c r="H993" s="9"/>
      <c r="I993" s="6" t="s">
        <v>8</v>
      </c>
      <c r="J993" s="21" t="s">
        <v>8</v>
      </c>
      <c r="K993" s="3" t="s">
        <v>5</v>
      </c>
      <c r="L993" s="5" t="s">
        <v>2693</v>
      </c>
      <c r="M993" s="7" t="s">
        <v>717</v>
      </c>
      <c r="N993" s="19" t="s">
        <v>1854</v>
      </c>
      <c r="O993" s="22"/>
      <c r="AR993" s="19" t="s">
        <v>160</v>
      </c>
      <c r="AT993" s="19" t="s">
        <v>160</v>
      </c>
      <c r="AX993" s="19" t="s">
        <v>160</v>
      </c>
      <c r="BB993" s="19"/>
      <c r="BC993" s="19"/>
      <c r="BD993" s="19"/>
      <c r="BE993" s="19"/>
    </row>
    <row r="994" spans="1:57" x14ac:dyDescent="0.25">
      <c r="A994" s="6" t="s">
        <v>8</v>
      </c>
      <c r="B994" s="9">
        <v>78290</v>
      </c>
      <c r="C994" s="9" t="s">
        <v>2601</v>
      </c>
      <c r="D994" s="9" t="s">
        <v>2602</v>
      </c>
      <c r="E994" s="3">
        <v>57.543599999999998</v>
      </c>
      <c r="F994" s="3">
        <v>18.4253</v>
      </c>
      <c r="G994" s="9">
        <v>32</v>
      </c>
      <c r="H994" s="3"/>
      <c r="I994" s="21" t="s">
        <v>2603</v>
      </c>
      <c r="J994" s="21" t="s">
        <v>8</v>
      </c>
      <c r="K994" s="3" t="s">
        <v>5</v>
      </c>
      <c r="L994" s="5" t="s">
        <v>2693</v>
      </c>
      <c r="M994" s="7" t="s">
        <v>2653</v>
      </c>
      <c r="N994" s="19" t="s">
        <v>2510</v>
      </c>
      <c r="O994" s="22"/>
      <c r="P994" s="19" t="s">
        <v>160</v>
      </c>
      <c r="AR994" s="19" t="s">
        <v>160</v>
      </c>
      <c r="AS994" s="19" t="s">
        <v>160</v>
      </c>
      <c r="AT994" s="19" t="s">
        <v>160</v>
      </c>
      <c r="AU994" s="19" t="s">
        <v>160</v>
      </c>
      <c r="AX994" s="19" t="s">
        <v>160</v>
      </c>
      <c r="AY994" s="19" t="s">
        <v>160</v>
      </c>
      <c r="BB994" s="19"/>
      <c r="BC994" s="19"/>
      <c r="BD994" s="19"/>
      <c r="BE994" s="19"/>
    </row>
    <row r="995" spans="1:57" x14ac:dyDescent="0.25">
      <c r="A995" s="6" t="s">
        <v>8</v>
      </c>
      <c r="B995" s="9">
        <v>65160</v>
      </c>
      <c r="C995" s="9" t="s">
        <v>1498</v>
      </c>
      <c r="D995" s="9" t="s">
        <v>1499</v>
      </c>
      <c r="E995" s="3">
        <v>56.267000000000003</v>
      </c>
      <c r="F995" s="3">
        <v>15.265000000000001</v>
      </c>
      <c r="G995" s="9">
        <v>58.2</v>
      </c>
      <c r="H995" s="9"/>
      <c r="I995" s="21" t="s">
        <v>8</v>
      </c>
      <c r="J995" s="21" t="s">
        <v>8</v>
      </c>
      <c r="K995" s="3" t="s">
        <v>5</v>
      </c>
      <c r="L995" s="5" t="s">
        <v>2680</v>
      </c>
      <c r="M995" s="7" t="s">
        <v>2653</v>
      </c>
      <c r="N995" s="19" t="s">
        <v>2368</v>
      </c>
      <c r="O995" s="22"/>
      <c r="P995" s="19" t="s">
        <v>160</v>
      </c>
      <c r="AR995" s="19" t="s">
        <v>160</v>
      </c>
      <c r="AS995" s="19" t="s">
        <v>160</v>
      </c>
      <c r="AT995" s="19" t="s">
        <v>160</v>
      </c>
      <c r="AU995" s="19" t="s">
        <v>160</v>
      </c>
      <c r="AV995" s="19" t="s">
        <v>160</v>
      </c>
      <c r="AW995" s="19" t="s">
        <v>160</v>
      </c>
      <c r="AX995" s="19" t="s">
        <v>160</v>
      </c>
      <c r="AY995" s="19" t="s">
        <v>160</v>
      </c>
      <c r="AZ995" s="19" t="s">
        <v>160</v>
      </c>
      <c r="BA995" s="19" t="s">
        <v>160</v>
      </c>
      <c r="BB995" s="19"/>
      <c r="BC995" s="19"/>
      <c r="BD995" s="19"/>
      <c r="BE995" s="19"/>
    </row>
    <row r="996" spans="1:57" s="94" customFormat="1" x14ac:dyDescent="0.25">
      <c r="A996" s="114" t="s">
        <v>2773</v>
      </c>
      <c r="B996" s="94" t="s">
        <v>2963</v>
      </c>
      <c r="C996" s="94" t="s">
        <v>1709</v>
      </c>
      <c r="D996" s="153" t="s">
        <v>1713</v>
      </c>
      <c r="E996" s="82" t="s">
        <v>16</v>
      </c>
      <c r="F996" s="82" t="s">
        <v>16</v>
      </c>
      <c r="H996" s="94" t="s">
        <v>150</v>
      </c>
      <c r="I996" s="122" t="s">
        <v>8</v>
      </c>
      <c r="J996" s="122" t="s">
        <v>8</v>
      </c>
      <c r="K996" s="82" t="s">
        <v>124</v>
      </c>
      <c r="L996" s="93" t="s">
        <v>2295</v>
      </c>
      <c r="M996" s="105" t="s">
        <v>2653</v>
      </c>
      <c r="N996" s="108" t="s">
        <v>1115</v>
      </c>
      <c r="O996" s="104" t="s">
        <v>160</v>
      </c>
      <c r="P996" s="108" t="s">
        <v>160</v>
      </c>
      <c r="Q996" s="108"/>
      <c r="R996" s="108"/>
      <c r="S996" s="108" t="s">
        <v>160</v>
      </c>
      <c r="T996" s="108" t="s">
        <v>160</v>
      </c>
      <c r="U996" s="108"/>
      <c r="V996" s="108"/>
      <c r="W996" s="108"/>
      <c r="X996" s="108" t="s">
        <v>160</v>
      </c>
      <c r="Y996" s="108" t="s">
        <v>160</v>
      </c>
      <c r="Z996" s="108" t="s">
        <v>160</v>
      </c>
      <c r="AA996" s="108" t="s">
        <v>160</v>
      </c>
      <c r="AB996" s="108" t="s">
        <v>160</v>
      </c>
      <c r="AC996" s="108" t="s">
        <v>160</v>
      </c>
      <c r="AD996" s="108" t="s">
        <v>160</v>
      </c>
      <c r="AE996" s="108" t="s">
        <v>160</v>
      </c>
      <c r="AF996" s="108"/>
      <c r="AG996" s="108"/>
      <c r="AH996" s="108"/>
      <c r="AI996" s="108"/>
      <c r="AJ996" s="108"/>
      <c r="AK996" s="108"/>
      <c r="AL996" s="108"/>
      <c r="AM996" s="108"/>
      <c r="AN996" s="108"/>
      <c r="AO996" s="108"/>
      <c r="AP996" s="108"/>
      <c r="AQ996" s="108"/>
      <c r="AR996" s="108" t="s">
        <v>160</v>
      </c>
      <c r="AS996" s="108" t="s">
        <v>160</v>
      </c>
      <c r="AT996" s="108"/>
      <c r="AU996" s="108"/>
      <c r="AV996" s="108"/>
      <c r="AW996" s="108"/>
      <c r="AX996" s="108"/>
      <c r="AY996" s="108"/>
      <c r="AZ996" s="108"/>
      <c r="BA996" s="108"/>
      <c r="BB996" s="108"/>
      <c r="BC996" s="108"/>
      <c r="BD996" s="108"/>
      <c r="BE996" s="108"/>
    </row>
    <row r="997" spans="1:57" x14ac:dyDescent="0.25">
      <c r="A997" s="6" t="s">
        <v>8</v>
      </c>
      <c r="B997" s="9">
        <v>38059</v>
      </c>
      <c r="C997" s="9" t="s">
        <v>1709</v>
      </c>
      <c r="D997" s="62" t="s">
        <v>1713</v>
      </c>
      <c r="E997" s="3" t="s">
        <v>16</v>
      </c>
      <c r="F997" s="3" t="s">
        <v>16</v>
      </c>
      <c r="G997" s="9"/>
      <c r="H997" s="9" t="s">
        <v>150</v>
      </c>
      <c r="I997" s="21" t="s">
        <v>8</v>
      </c>
      <c r="J997" s="21" t="s">
        <v>8</v>
      </c>
      <c r="K997" s="3" t="s">
        <v>124</v>
      </c>
      <c r="L997" s="5" t="s">
        <v>2295</v>
      </c>
      <c r="M997" s="7" t="s">
        <v>2653</v>
      </c>
      <c r="N997" s="19" t="s">
        <v>1115</v>
      </c>
      <c r="O997" s="22" t="s">
        <v>160</v>
      </c>
      <c r="P997" s="19" t="s">
        <v>160</v>
      </c>
      <c r="S997" s="19" t="s">
        <v>160</v>
      </c>
      <c r="T997" s="19" t="s">
        <v>160</v>
      </c>
      <c r="X997" s="19" t="s">
        <v>160</v>
      </c>
      <c r="Y997" s="19" t="s">
        <v>160</v>
      </c>
      <c r="Z997" s="19" t="s">
        <v>160</v>
      </c>
      <c r="AA997" s="19" t="s">
        <v>160</v>
      </c>
      <c r="AB997" s="19" t="s">
        <v>160</v>
      </c>
      <c r="AC997" s="19" t="s">
        <v>160</v>
      </c>
      <c r="AD997" s="19" t="s">
        <v>160</v>
      </c>
      <c r="AE997" s="19" t="s">
        <v>160</v>
      </c>
      <c r="AR997" s="19" t="s">
        <v>160</v>
      </c>
      <c r="AS997" s="19" t="s">
        <v>160</v>
      </c>
      <c r="BB997" s="19"/>
      <c r="BC997" s="19"/>
      <c r="BD997" s="19"/>
      <c r="BE997" s="19"/>
    </row>
    <row r="998" spans="1:57" x14ac:dyDescent="0.25">
      <c r="A998" s="6" t="s">
        <v>706</v>
      </c>
      <c r="B998" s="9">
        <v>187</v>
      </c>
      <c r="C998" s="9" t="s">
        <v>1709</v>
      </c>
      <c r="D998" s="62" t="s">
        <v>2766</v>
      </c>
      <c r="E998" s="3" t="s">
        <v>16</v>
      </c>
      <c r="F998" s="3" t="s">
        <v>16</v>
      </c>
      <c r="G998" s="9"/>
      <c r="H998" s="9" t="s">
        <v>150</v>
      </c>
      <c r="I998" s="21" t="s">
        <v>2770</v>
      </c>
      <c r="J998" s="21" t="s">
        <v>8</v>
      </c>
      <c r="K998" s="3" t="s">
        <v>124</v>
      </c>
      <c r="L998" s="5" t="s">
        <v>2033</v>
      </c>
      <c r="M998" s="7" t="s">
        <v>2653</v>
      </c>
      <c r="N998" s="19" t="s">
        <v>1115</v>
      </c>
      <c r="O998" s="22" t="s">
        <v>160</v>
      </c>
      <c r="P998" s="19" t="s">
        <v>160</v>
      </c>
      <c r="S998" s="19" t="s">
        <v>160</v>
      </c>
      <c r="T998" s="19" t="s">
        <v>160</v>
      </c>
      <c r="X998" s="19" t="s">
        <v>160</v>
      </c>
      <c r="Y998" s="19" t="s">
        <v>160</v>
      </c>
      <c r="Z998" s="19" t="s">
        <v>160</v>
      </c>
      <c r="AA998" s="19" t="s">
        <v>160</v>
      </c>
      <c r="AB998" s="19" t="s">
        <v>160</v>
      </c>
      <c r="AC998" s="19" t="s">
        <v>160</v>
      </c>
      <c r="AD998" s="19" t="s">
        <v>160</v>
      </c>
      <c r="AE998" s="19" t="s">
        <v>160</v>
      </c>
      <c r="BB998" s="19"/>
      <c r="BC998" s="19"/>
      <c r="BD998" s="19"/>
      <c r="BE998" s="19"/>
    </row>
    <row r="999" spans="1:57" s="105" customFormat="1" x14ac:dyDescent="0.25">
      <c r="A999" s="9" t="s">
        <v>707</v>
      </c>
      <c r="B999" s="39" t="s">
        <v>521</v>
      </c>
      <c r="C999" s="39" t="s">
        <v>918</v>
      </c>
      <c r="D999" s="40" t="s">
        <v>522</v>
      </c>
      <c r="E999" s="46" t="s">
        <v>524</v>
      </c>
      <c r="F999" s="46" t="s">
        <v>523</v>
      </c>
      <c r="G999" s="41"/>
      <c r="H999" s="9" t="s">
        <v>150</v>
      </c>
      <c r="I999" s="41" t="s">
        <v>169</v>
      </c>
      <c r="J999" s="41" t="s">
        <v>169</v>
      </c>
      <c r="K999" s="40" t="s">
        <v>5</v>
      </c>
      <c r="L999" s="41" t="s">
        <v>2041</v>
      </c>
      <c r="M999" s="7" t="s">
        <v>2653</v>
      </c>
      <c r="N999" s="19"/>
      <c r="O999" s="19"/>
      <c r="P999" s="19"/>
      <c r="Q999" s="19"/>
      <c r="R999" s="19"/>
      <c r="S999" s="19"/>
      <c r="T999" s="19"/>
      <c r="U999" s="19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2"/>
      <c r="AJ999" s="42"/>
      <c r="AK999" s="42"/>
      <c r="AL999" s="42"/>
      <c r="AM999" s="42"/>
      <c r="AN999" s="42"/>
      <c r="AO999" s="42"/>
      <c r="AP999" s="42"/>
      <c r="AQ999" s="42"/>
      <c r="AR999" s="42"/>
      <c r="AS999" s="42"/>
      <c r="AT999" s="19"/>
      <c r="AU999" s="19"/>
      <c r="AV999" s="19"/>
      <c r="AW999" s="19"/>
      <c r="AX999" s="19"/>
      <c r="AY999" s="19"/>
      <c r="AZ999" s="42" t="s">
        <v>160</v>
      </c>
      <c r="BA999" s="42" t="s">
        <v>160</v>
      </c>
      <c r="BB999" s="42"/>
      <c r="BC999" s="42"/>
      <c r="BD999" s="42"/>
      <c r="BE999" s="42"/>
    </row>
    <row r="1000" spans="1:57" s="7" customFormat="1" x14ac:dyDescent="0.25">
      <c r="A1000" s="122" t="s">
        <v>2773</v>
      </c>
      <c r="B1000" s="105" t="s">
        <v>2964</v>
      </c>
      <c r="C1000" s="105" t="s">
        <v>918</v>
      </c>
      <c r="D1000" s="153" t="s">
        <v>95</v>
      </c>
      <c r="E1000" s="93">
        <f>59+31/60+53.8314085/3600</f>
        <v>59.531619835694443</v>
      </c>
      <c r="F1000" s="93">
        <f>18+32/60+52.0248995/3600</f>
        <v>18.547784694305559</v>
      </c>
      <c r="G1000" s="105"/>
      <c r="H1000" s="105" t="s">
        <v>150</v>
      </c>
      <c r="I1000" s="122" t="s">
        <v>169</v>
      </c>
      <c r="J1000" s="122" t="s">
        <v>169</v>
      </c>
      <c r="K1000" s="93" t="s">
        <v>5</v>
      </c>
      <c r="L1000" s="93" t="s">
        <v>2041</v>
      </c>
      <c r="M1000" s="105" t="s">
        <v>2653</v>
      </c>
      <c r="N1000" s="108"/>
      <c r="O1000" s="104"/>
      <c r="P1000" s="108"/>
      <c r="Q1000" s="108"/>
      <c r="R1000" s="108"/>
      <c r="S1000" s="108"/>
      <c r="T1000" s="108"/>
      <c r="U1000" s="108"/>
      <c r="V1000" s="108"/>
      <c r="W1000" s="108"/>
      <c r="X1000" s="108"/>
      <c r="Y1000" s="108"/>
      <c r="Z1000" s="108"/>
      <c r="AA1000" s="108"/>
      <c r="AB1000" s="108"/>
      <c r="AC1000" s="108"/>
      <c r="AD1000" s="108"/>
      <c r="AE1000" s="108"/>
      <c r="AF1000" s="108"/>
      <c r="AG1000" s="108"/>
      <c r="AH1000" s="108"/>
      <c r="AI1000" s="108"/>
      <c r="AJ1000" s="108"/>
      <c r="AK1000" s="108"/>
      <c r="AL1000" s="108"/>
      <c r="AM1000" s="108"/>
      <c r="AN1000" s="108"/>
      <c r="AO1000" s="108"/>
      <c r="AP1000" s="108"/>
      <c r="AQ1000" s="108"/>
      <c r="AR1000" s="108"/>
      <c r="AS1000" s="108"/>
      <c r="AT1000" s="108"/>
      <c r="AU1000" s="108"/>
      <c r="AV1000" s="108"/>
      <c r="AW1000" s="108"/>
      <c r="AX1000" s="108"/>
      <c r="AY1000" s="108"/>
      <c r="AZ1000" s="108" t="s">
        <v>160</v>
      </c>
      <c r="BA1000" s="108" t="s">
        <v>160</v>
      </c>
      <c r="BB1000" s="108"/>
      <c r="BC1000" s="108"/>
      <c r="BD1000" s="108"/>
      <c r="BE1000" s="108"/>
    </row>
    <row r="1001" spans="1:57" x14ac:dyDescent="0.25">
      <c r="A1001" s="21" t="s">
        <v>8</v>
      </c>
      <c r="B1001" s="33" t="s">
        <v>875</v>
      </c>
      <c r="C1001" s="7" t="s">
        <v>918</v>
      </c>
      <c r="D1001" s="91" t="s">
        <v>918</v>
      </c>
      <c r="E1001" s="5">
        <f>59+31/60+53.8314085/3600</f>
        <v>59.531619835694443</v>
      </c>
      <c r="F1001" s="5">
        <f>18+32/60+52.0248995/3600</f>
        <v>18.547784694305559</v>
      </c>
      <c r="G1001" s="7"/>
      <c r="H1001" s="7" t="s">
        <v>150</v>
      </c>
      <c r="I1001" s="21" t="s">
        <v>169</v>
      </c>
      <c r="J1001" s="21" t="s">
        <v>169</v>
      </c>
      <c r="K1001" s="5" t="s">
        <v>5</v>
      </c>
      <c r="L1001" s="5" t="s">
        <v>2041</v>
      </c>
      <c r="M1001" s="7" t="s">
        <v>2653</v>
      </c>
      <c r="O1001" s="22"/>
      <c r="AZ1001" s="19" t="s">
        <v>160</v>
      </c>
      <c r="BA1001" s="19" t="s">
        <v>160</v>
      </c>
      <c r="BB1001" s="19"/>
      <c r="BC1001" s="19"/>
      <c r="BD1001" s="19"/>
      <c r="BE1001" s="19"/>
    </row>
    <row r="1002" spans="1:57" x14ac:dyDescent="0.25">
      <c r="A1002" s="9" t="s">
        <v>706</v>
      </c>
      <c r="B1002" s="38">
        <v>127</v>
      </c>
      <c r="C1002" s="39" t="s">
        <v>918</v>
      </c>
      <c r="D1002" s="62" t="s">
        <v>95</v>
      </c>
      <c r="E1002" s="3">
        <f>59+31/60+54/3600</f>
        <v>59.531666666666666</v>
      </c>
      <c r="F1002" s="3">
        <f>18+32/60+52/3600</f>
        <v>18.547777777777778</v>
      </c>
      <c r="G1002" s="7"/>
      <c r="H1002" s="9" t="s">
        <v>150</v>
      </c>
      <c r="I1002" s="7" t="s">
        <v>169</v>
      </c>
      <c r="J1002" s="7" t="s">
        <v>169</v>
      </c>
      <c r="K1002" s="9" t="s">
        <v>5</v>
      </c>
      <c r="L1002" s="7" t="s">
        <v>2041</v>
      </c>
      <c r="M1002" s="7" t="s">
        <v>2653</v>
      </c>
      <c r="AZ1002" s="19" t="s">
        <v>160</v>
      </c>
      <c r="BA1002" s="19" t="s">
        <v>160</v>
      </c>
      <c r="BB1002" s="19"/>
      <c r="BC1002" s="19"/>
      <c r="BD1002" s="19"/>
      <c r="BE1002" s="19"/>
    </row>
    <row r="1003" spans="1:57" x14ac:dyDescent="0.25">
      <c r="A1003" s="9" t="s">
        <v>8</v>
      </c>
      <c r="B1003" s="27">
        <v>37348</v>
      </c>
      <c r="C1003" s="28" t="s">
        <v>1964</v>
      </c>
      <c r="D1003" s="28" t="s">
        <v>1804</v>
      </c>
      <c r="E1003" s="25">
        <v>59</v>
      </c>
      <c r="F1003" s="25">
        <v>10.683299999999999</v>
      </c>
      <c r="H1003" s="9" t="s">
        <v>150</v>
      </c>
      <c r="I1003" s="9" t="s">
        <v>8</v>
      </c>
      <c r="J1003" s="7" t="s">
        <v>8</v>
      </c>
      <c r="K1003" s="6" t="s">
        <v>2455</v>
      </c>
      <c r="L1003" s="7" t="s">
        <v>2027</v>
      </c>
      <c r="M1003" s="28" t="s">
        <v>717</v>
      </c>
      <c r="N1003" s="19" t="s">
        <v>1869</v>
      </c>
      <c r="O1003" s="22"/>
      <c r="T1003" s="7"/>
      <c r="X1003" s="19" t="s">
        <v>160</v>
      </c>
      <c r="BA1003" s="7"/>
      <c r="BB1003" s="7"/>
      <c r="BC1003" s="7"/>
      <c r="BD1003" s="7"/>
      <c r="BE1003" s="7"/>
    </row>
    <row r="1004" spans="1:57" x14ac:dyDescent="0.25">
      <c r="A1004" s="9" t="s">
        <v>8</v>
      </c>
      <c r="B1004" s="27">
        <v>37349</v>
      </c>
      <c r="C1004" s="28" t="s">
        <v>1805</v>
      </c>
      <c r="D1004" s="28" t="s">
        <v>1805</v>
      </c>
      <c r="E1004" s="25">
        <v>58.6</v>
      </c>
      <c r="F1004" s="25">
        <v>10.7</v>
      </c>
      <c r="H1004" s="9" t="s">
        <v>150</v>
      </c>
      <c r="I1004" s="9" t="s">
        <v>8</v>
      </c>
      <c r="J1004" s="7" t="s">
        <v>8</v>
      </c>
      <c r="K1004" s="6" t="s">
        <v>2455</v>
      </c>
      <c r="L1004" s="7" t="s">
        <v>2027</v>
      </c>
      <c r="M1004" s="28" t="s">
        <v>717</v>
      </c>
      <c r="N1004" s="19" t="s">
        <v>1869</v>
      </c>
      <c r="O1004" s="22"/>
      <c r="T1004" s="7"/>
      <c r="X1004" s="19" t="s">
        <v>160</v>
      </c>
      <c r="BA1004" s="7"/>
      <c r="BB1004" s="7"/>
      <c r="BC1004" s="7"/>
      <c r="BD1004" s="7"/>
      <c r="BE1004" s="7"/>
    </row>
    <row r="1005" spans="1:57" x14ac:dyDescent="0.25">
      <c r="A1005" s="9" t="s">
        <v>8</v>
      </c>
      <c r="B1005" s="27">
        <v>37350</v>
      </c>
      <c r="C1005" s="28" t="s">
        <v>1806</v>
      </c>
      <c r="D1005" s="28" t="s">
        <v>1806</v>
      </c>
      <c r="E1005" s="25">
        <v>58.216700000000003</v>
      </c>
      <c r="F1005" s="25">
        <v>10.716699999999999</v>
      </c>
      <c r="H1005" s="9" t="s">
        <v>150</v>
      </c>
      <c r="I1005" s="9" t="s">
        <v>8</v>
      </c>
      <c r="J1005" s="7" t="s">
        <v>8</v>
      </c>
      <c r="K1005" s="6" t="s">
        <v>2455</v>
      </c>
      <c r="L1005" s="7" t="s">
        <v>2027</v>
      </c>
      <c r="M1005" s="28" t="s">
        <v>717</v>
      </c>
      <c r="N1005" s="19" t="s">
        <v>1869</v>
      </c>
      <c r="O1005" s="22"/>
      <c r="T1005" s="7"/>
      <c r="X1005" s="19" t="s">
        <v>160</v>
      </c>
      <c r="BA1005" s="7"/>
      <c r="BB1005" s="7"/>
      <c r="BC1005" s="7"/>
      <c r="BD1005" s="7"/>
      <c r="BE1005" s="7"/>
    </row>
    <row r="1006" spans="1:57" x14ac:dyDescent="0.25">
      <c r="A1006" s="9" t="s">
        <v>8</v>
      </c>
      <c r="B1006" s="27">
        <v>37351</v>
      </c>
      <c r="C1006" s="28" t="s">
        <v>1807</v>
      </c>
      <c r="D1006" s="28" t="s">
        <v>1807</v>
      </c>
      <c r="E1006" s="25">
        <v>57.666699999999999</v>
      </c>
      <c r="F1006" s="25">
        <v>10.75</v>
      </c>
      <c r="H1006" s="9" t="s">
        <v>150</v>
      </c>
      <c r="I1006" s="9" t="s">
        <v>8</v>
      </c>
      <c r="J1006" s="7" t="s">
        <v>8</v>
      </c>
      <c r="K1006" s="6" t="s">
        <v>2455</v>
      </c>
      <c r="L1006" s="7" t="s">
        <v>2027</v>
      </c>
      <c r="M1006" s="28" t="s">
        <v>717</v>
      </c>
      <c r="N1006" s="19" t="s">
        <v>1870</v>
      </c>
      <c r="O1006" s="22"/>
      <c r="T1006" s="7"/>
      <c r="X1006" s="19" t="s">
        <v>160</v>
      </c>
      <c r="BA1006" s="7"/>
      <c r="BB1006" s="7"/>
      <c r="BC1006" s="7"/>
      <c r="BD1006" s="7"/>
      <c r="BE1006" s="7"/>
    </row>
    <row r="1007" spans="1:57" x14ac:dyDescent="0.25">
      <c r="A1007" s="9" t="s">
        <v>8</v>
      </c>
      <c r="B1007" s="26">
        <v>35051</v>
      </c>
      <c r="C1007" s="24" t="s">
        <v>1068</v>
      </c>
      <c r="D1007" s="24" t="s">
        <v>1693</v>
      </c>
      <c r="E1007" s="25">
        <f>66+27/60</f>
        <v>66.45</v>
      </c>
      <c r="F1007" s="25">
        <f>16+29/60</f>
        <v>16.483333333333334</v>
      </c>
      <c r="G1007" s="9"/>
      <c r="H1007" s="9" t="s">
        <v>2430</v>
      </c>
      <c r="I1007" s="9" t="s">
        <v>8</v>
      </c>
      <c r="J1007" s="7" t="s">
        <v>8</v>
      </c>
      <c r="K1007" s="10" t="s">
        <v>951</v>
      </c>
      <c r="L1007" s="7" t="s">
        <v>2044</v>
      </c>
      <c r="M1007" s="7" t="s">
        <v>717</v>
      </c>
      <c r="N1007" s="42" t="s">
        <v>1355</v>
      </c>
      <c r="O1007" s="22"/>
      <c r="P1007" s="42"/>
      <c r="S1007" s="42" t="s">
        <v>160</v>
      </c>
      <c r="T1007" s="19" t="s">
        <v>160</v>
      </c>
      <c r="U1007" s="42"/>
      <c r="AN1007" s="19" t="s">
        <v>160</v>
      </c>
      <c r="BB1007" s="19"/>
      <c r="BC1007" s="19"/>
      <c r="BD1007" s="19"/>
      <c r="BE1007" s="19"/>
    </row>
    <row r="1008" spans="1:57" x14ac:dyDescent="0.25">
      <c r="A1008" s="6" t="s">
        <v>8</v>
      </c>
      <c r="B1008" s="9">
        <v>54230</v>
      </c>
      <c r="C1008" s="9" t="s">
        <v>2431</v>
      </c>
      <c r="D1008" s="9" t="s">
        <v>1500</v>
      </c>
      <c r="E1008" s="3">
        <v>55.3872</v>
      </c>
      <c r="F1008" s="3">
        <v>14.194699999999999</v>
      </c>
      <c r="G1008" s="9">
        <v>4</v>
      </c>
      <c r="H1008" s="9" t="s">
        <v>150</v>
      </c>
      <c r="I1008" s="6" t="s">
        <v>8</v>
      </c>
      <c r="J1008" s="21" t="s">
        <v>8</v>
      </c>
      <c r="K1008" s="3" t="s">
        <v>5</v>
      </c>
      <c r="L1008" s="5" t="s">
        <v>2680</v>
      </c>
      <c r="M1008" s="7" t="s">
        <v>717</v>
      </c>
      <c r="N1008" s="19" t="s">
        <v>2525</v>
      </c>
      <c r="O1008" s="22"/>
      <c r="P1008" s="19" t="s">
        <v>160</v>
      </c>
      <c r="AR1008" s="19" t="s">
        <v>160</v>
      </c>
      <c r="AT1008" s="19" t="s">
        <v>160</v>
      </c>
      <c r="AV1008" s="19" t="s">
        <v>160</v>
      </c>
      <c r="AX1008" s="19" t="s">
        <v>160</v>
      </c>
      <c r="AZ1008" s="19" t="s">
        <v>160</v>
      </c>
      <c r="BB1008" s="19"/>
      <c r="BC1008" s="19"/>
      <c r="BD1008" s="19"/>
      <c r="BE1008" s="19"/>
    </row>
    <row r="1009" spans="1:57" s="94" customFormat="1" x14ac:dyDescent="0.25">
      <c r="A1009" s="98" t="s">
        <v>2773</v>
      </c>
      <c r="B1009" s="135" t="s">
        <v>2934</v>
      </c>
      <c r="C1009" s="98" t="s">
        <v>1217</v>
      </c>
      <c r="D1009" s="98" t="s">
        <v>1217</v>
      </c>
      <c r="E1009" s="189">
        <f>59+17/60+24/3600</f>
        <v>59.29</v>
      </c>
      <c r="F1009" s="189">
        <f>18+54/60+36/3600</f>
        <v>18.91</v>
      </c>
      <c r="G1009" s="101"/>
      <c r="H1009" s="98" t="s">
        <v>150</v>
      </c>
      <c r="I1009" s="98" t="s">
        <v>8</v>
      </c>
      <c r="J1009" s="102" t="s">
        <v>8</v>
      </c>
      <c r="K1009" s="98" t="s">
        <v>6</v>
      </c>
      <c r="L1009" s="102" t="s">
        <v>2030</v>
      </c>
      <c r="M1009" s="102" t="s">
        <v>717</v>
      </c>
      <c r="N1009" s="104" t="s">
        <v>1292</v>
      </c>
      <c r="O1009" s="104"/>
      <c r="P1009" s="104"/>
      <c r="Q1009" s="103" t="s">
        <v>1615</v>
      </c>
      <c r="R1009" s="103"/>
      <c r="S1009" s="103"/>
      <c r="T1009" s="103"/>
      <c r="U1009" s="104">
        <v>4</v>
      </c>
      <c r="V1009" s="103" t="s">
        <v>160</v>
      </c>
      <c r="W1009" s="103"/>
      <c r="X1009" s="103"/>
      <c r="Y1009" s="103"/>
      <c r="Z1009" s="103"/>
      <c r="AA1009" s="103"/>
      <c r="AB1009" s="103"/>
      <c r="AC1009" s="103"/>
      <c r="AD1009" s="103"/>
      <c r="AE1009" s="103"/>
      <c r="AF1009" s="103"/>
      <c r="AG1009" s="103"/>
      <c r="AH1009" s="103"/>
      <c r="AI1009" s="103"/>
      <c r="AJ1009" s="103"/>
      <c r="AK1009" s="103"/>
      <c r="AL1009" s="103"/>
      <c r="AM1009" s="103"/>
      <c r="AN1009" s="103"/>
      <c r="AO1009" s="103"/>
      <c r="AP1009" s="103"/>
      <c r="AQ1009" s="103"/>
      <c r="AR1009" s="103"/>
      <c r="AS1009" s="103"/>
      <c r="AT1009" s="103"/>
      <c r="AU1009" s="103"/>
      <c r="AV1009" s="103"/>
      <c r="AW1009" s="103"/>
      <c r="AX1009" s="103"/>
      <c r="AY1009" s="103"/>
      <c r="AZ1009" s="103"/>
      <c r="BA1009" s="103"/>
      <c r="BB1009" s="103"/>
      <c r="BC1009" s="103"/>
      <c r="BD1009" s="103"/>
      <c r="BE1009" s="103"/>
    </row>
    <row r="1010" spans="1:57" x14ac:dyDescent="0.25">
      <c r="A1010" s="10" t="s">
        <v>8</v>
      </c>
      <c r="B1010" s="155">
        <v>2529</v>
      </c>
      <c r="C1010" s="10" t="s">
        <v>1217</v>
      </c>
      <c r="D1010" s="10" t="s">
        <v>1217</v>
      </c>
      <c r="E1010" s="195">
        <v>59.29</v>
      </c>
      <c r="F1010" s="195">
        <v>18.91</v>
      </c>
      <c r="G1010" s="30"/>
      <c r="H1010" s="10" t="s">
        <v>150</v>
      </c>
      <c r="I1010" s="10" t="s">
        <v>8</v>
      </c>
      <c r="J1010" s="24" t="s">
        <v>8</v>
      </c>
      <c r="K1010" s="10" t="s">
        <v>6</v>
      </c>
      <c r="L1010" s="24" t="s">
        <v>2030</v>
      </c>
      <c r="M1010" s="24" t="s">
        <v>717</v>
      </c>
      <c r="N1010" s="22" t="s">
        <v>1292</v>
      </c>
      <c r="O1010" s="22"/>
      <c r="P1010" s="22"/>
      <c r="Q1010" s="20" t="s">
        <v>1615</v>
      </c>
      <c r="R1010" s="20"/>
      <c r="S1010" s="20"/>
      <c r="T1010" s="20"/>
      <c r="U1010" s="22">
        <v>4</v>
      </c>
      <c r="V1010" s="20" t="s">
        <v>160</v>
      </c>
      <c r="W1010" s="20"/>
      <c r="X1010" s="20"/>
      <c r="Y1010" s="20"/>
      <c r="Z1010" s="20"/>
      <c r="AA1010" s="20"/>
      <c r="AB1010" s="20"/>
      <c r="AC1010" s="20"/>
      <c r="AD1010" s="20"/>
      <c r="AE1010" s="20"/>
      <c r="AF1010" s="20"/>
      <c r="AG1010" s="20"/>
      <c r="AH1010" s="20"/>
      <c r="AI1010" s="20"/>
      <c r="AJ1010" s="20"/>
      <c r="AK1010" s="20"/>
      <c r="AL1010" s="20"/>
      <c r="AM1010" s="20"/>
      <c r="AN1010" s="20"/>
      <c r="AO1010" s="20"/>
      <c r="AP1010" s="20"/>
      <c r="AQ1010" s="20"/>
      <c r="AR1010" s="20"/>
      <c r="AS1010" s="20"/>
      <c r="AT1010" s="20"/>
      <c r="AU1010" s="20"/>
      <c r="AV1010" s="20"/>
      <c r="AW1010" s="20"/>
      <c r="AX1010" s="20"/>
      <c r="AY1010" s="20"/>
      <c r="AZ1010" s="20"/>
      <c r="BA1010" s="20"/>
      <c r="BB1010" s="20"/>
      <c r="BC1010" s="20"/>
      <c r="BD1010" s="20"/>
      <c r="BE1010" s="20"/>
    </row>
    <row r="1011" spans="1:57" x14ac:dyDescent="0.25">
      <c r="A1011" s="6" t="s">
        <v>8</v>
      </c>
      <c r="B1011" s="9">
        <v>98170</v>
      </c>
      <c r="C1011" s="9" t="s">
        <v>2410</v>
      </c>
      <c r="D1011" s="9" t="s">
        <v>1217</v>
      </c>
      <c r="E1011" s="3">
        <v>59.290100000000002</v>
      </c>
      <c r="F1011" s="3">
        <v>18.917899999999999</v>
      </c>
      <c r="G1011" s="9">
        <v>15</v>
      </c>
      <c r="H1011" s="9" t="s">
        <v>150</v>
      </c>
      <c r="I1011" s="6" t="s">
        <v>8</v>
      </c>
      <c r="J1011" s="21" t="s">
        <v>8</v>
      </c>
      <c r="K1011" s="3" t="s">
        <v>5</v>
      </c>
      <c r="L1011" s="5" t="s">
        <v>2063</v>
      </c>
      <c r="M1011" s="7" t="s">
        <v>717</v>
      </c>
      <c r="N1011" s="19" t="s">
        <v>2526</v>
      </c>
      <c r="O1011" s="22"/>
      <c r="P1011" s="19" t="s">
        <v>160</v>
      </c>
      <c r="AR1011" s="19" t="s">
        <v>160</v>
      </c>
      <c r="AX1011" s="19" t="s">
        <v>160</v>
      </c>
      <c r="AZ1011" s="19" t="s">
        <v>160</v>
      </c>
      <c r="BB1011" s="19"/>
      <c r="BC1011" s="19"/>
      <c r="BD1011" s="19"/>
      <c r="BE1011" s="19"/>
    </row>
    <row r="1012" spans="1:57" x14ac:dyDescent="0.25">
      <c r="A1012" s="6" t="s">
        <v>8</v>
      </c>
      <c r="B1012" s="9">
        <v>98170</v>
      </c>
      <c r="C1012" s="9" t="s">
        <v>1501</v>
      </c>
      <c r="D1012" s="9" t="s">
        <v>1502</v>
      </c>
      <c r="E1012" s="3">
        <v>59.29</v>
      </c>
      <c r="F1012" s="3">
        <v>18.9146</v>
      </c>
      <c r="G1012" s="9">
        <v>2.0489999999999999</v>
      </c>
      <c r="H1012" s="3" t="s">
        <v>150</v>
      </c>
      <c r="I1012" s="21" t="s">
        <v>8</v>
      </c>
      <c r="J1012" s="21" t="s">
        <v>8</v>
      </c>
      <c r="K1012" s="3" t="s">
        <v>5</v>
      </c>
      <c r="L1012" s="5" t="s">
        <v>2028</v>
      </c>
      <c r="M1012" s="5" t="s">
        <v>2653</v>
      </c>
      <c r="N1012" s="19" t="s">
        <v>2576</v>
      </c>
      <c r="O1012" s="22"/>
      <c r="P1012" s="19" t="s">
        <v>160</v>
      </c>
      <c r="V1012" s="29"/>
      <c r="W1012" s="29"/>
      <c r="X1012" s="29"/>
      <c r="Y1012" s="29"/>
      <c r="Z1012" s="29"/>
      <c r="AA1012" s="29"/>
      <c r="AB1012" s="29"/>
      <c r="AC1012" s="29"/>
      <c r="AD1012" s="29"/>
      <c r="AE1012" s="29"/>
      <c r="AF1012" s="29"/>
      <c r="AG1012" s="29"/>
      <c r="AH1012" s="29"/>
      <c r="AI1012" s="29"/>
      <c r="AJ1012" s="29"/>
      <c r="AK1012" s="29"/>
      <c r="AL1012" s="29"/>
      <c r="AM1012" s="29"/>
      <c r="AN1012" s="29"/>
      <c r="AO1012" s="29"/>
      <c r="AP1012" s="29"/>
      <c r="AQ1012" s="29"/>
      <c r="AR1012" s="29"/>
      <c r="AS1012" s="29"/>
      <c r="AT1012" s="19" t="s">
        <v>160</v>
      </c>
      <c r="AU1012" s="19" t="s">
        <v>160</v>
      </c>
      <c r="BB1012" s="19"/>
      <c r="BC1012" s="19"/>
      <c r="BD1012" s="19"/>
      <c r="BE1012" s="19"/>
    </row>
    <row r="1013" spans="1:57" x14ac:dyDescent="0.25">
      <c r="A1013" s="9" t="s">
        <v>8</v>
      </c>
      <c r="B1013" s="27">
        <v>37404</v>
      </c>
      <c r="C1013" s="28" t="s">
        <v>1971</v>
      </c>
      <c r="D1013" s="28" t="s">
        <v>1503</v>
      </c>
      <c r="E1013" s="25">
        <v>58.416699999999999</v>
      </c>
      <c r="F1013" s="25">
        <v>12.7333</v>
      </c>
      <c r="H1013" s="9" t="s">
        <v>150</v>
      </c>
      <c r="I1013" s="7" t="s">
        <v>8</v>
      </c>
      <c r="J1013" s="7" t="s">
        <v>8</v>
      </c>
      <c r="K1013" s="6" t="s">
        <v>2455</v>
      </c>
      <c r="L1013" s="7" t="s">
        <v>2027</v>
      </c>
      <c r="M1013" s="28" t="s">
        <v>2653</v>
      </c>
      <c r="N1013" s="19" t="s">
        <v>1873</v>
      </c>
      <c r="O1013" s="22"/>
      <c r="T1013" s="7"/>
      <c r="X1013" s="19" t="s">
        <v>160</v>
      </c>
      <c r="Y1013" s="19" t="s">
        <v>160</v>
      </c>
      <c r="BA1013" s="7"/>
      <c r="BB1013" s="7"/>
      <c r="BC1013" s="7"/>
      <c r="BD1013" s="7"/>
      <c r="BE1013" s="7"/>
    </row>
    <row r="1014" spans="1:57" x14ac:dyDescent="0.25">
      <c r="A1014" s="6" t="s">
        <v>8</v>
      </c>
      <c r="B1014" s="9">
        <v>82260</v>
      </c>
      <c r="C1014" s="9" t="s">
        <v>2292</v>
      </c>
      <c r="D1014" s="9" t="s">
        <v>1503</v>
      </c>
      <c r="E1014" s="3">
        <v>58.427999999999997</v>
      </c>
      <c r="F1014" s="3">
        <v>12.711</v>
      </c>
      <c r="G1014" s="9">
        <v>55.1</v>
      </c>
      <c r="H1014" s="9" t="s">
        <v>148</v>
      </c>
      <c r="I1014" s="21" t="s">
        <v>8</v>
      </c>
      <c r="J1014" s="21" t="s">
        <v>8</v>
      </c>
      <c r="K1014" s="3" t="s">
        <v>5</v>
      </c>
      <c r="L1014" s="5" t="s">
        <v>2680</v>
      </c>
      <c r="M1014" s="7" t="s">
        <v>2653</v>
      </c>
      <c r="N1014" s="19" t="s">
        <v>2495</v>
      </c>
      <c r="O1014" s="22"/>
      <c r="P1014" s="19" t="s">
        <v>160</v>
      </c>
      <c r="AR1014" s="19" t="s">
        <v>160</v>
      </c>
      <c r="AS1014" s="19" t="s">
        <v>160</v>
      </c>
      <c r="AT1014" s="19" t="s">
        <v>160</v>
      </c>
      <c r="AU1014" s="19" t="s">
        <v>160</v>
      </c>
      <c r="AV1014" s="19" t="s">
        <v>160</v>
      </c>
      <c r="AW1014" s="19" t="s">
        <v>160</v>
      </c>
      <c r="AX1014" s="19" t="s">
        <v>160</v>
      </c>
      <c r="AY1014" s="19" t="s">
        <v>160</v>
      </c>
      <c r="AZ1014" s="19" t="s">
        <v>160</v>
      </c>
      <c r="BA1014" s="19" t="s">
        <v>160</v>
      </c>
      <c r="BB1014" s="19"/>
      <c r="BC1014" s="19"/>
      <c r="BD1014" s="19"/>
      <c r="BE1014" s="19"/>
    </row>
    <row r="1015" spans="1:57" x14ac:dyDescent="0.25">
      <c r="A1015" s="6" t="s">
        <v>8</v>
      </c>
      <c r="B1015" s="9">
        <v>82250</v>
      </c>
      <c r="C1015" s="9" t="s">
        <v>1504</v>
      </c>
      <c r="D1015" s="9" t="s">
        <v>1505</v>
      </c>
      <c r="E1015" s="3">
        <v>58.439700000000002</v>
      </c>
      <c r="F1015" s="3">
        <v>12.6928</v>
      </c>
      <c r="G1015" s="9">
        <v>55</v>
      </c>
      <c r="H1015" s="3" t="s">
        <v>148</v>
      </c>
      <c r="I1015" s="6" t="s">
        <v>8</v>
      </c>
      <c r="J1015" s="21" t="s">
        <v>8</v>
      </c>
      <c r="K1015" s="3" t="s">
        <v>5</v>
      </c>
      <c r="L1015" s="5" t="s">
        <v>2028</v>
      </c>
      <c r="M1015" s="5" t="s">
        <v>717</v>
      </c>
      <c r="N1015" s="19" t="s">
        <v>2577</v>
      </c>
      <c r="O1015" s="22"/>
      <c r="P1015" s="19" t="s">
        <v>160</v>
      </c>
      <c r="V1015" s="29"/>
      <c r="W1015" s="29"/>
      <c r="X1015" s="29"/>
      <c r="Y1015" s="29"/>
      <c r="Z1015" s="29"/>
      <c r="AA1015" s="29"/>
      <c r="AB1015" s="29"/>
      <c r="AC1015" s="29"/>
      <c r="AD1015" s="29"/>
      <c r="AE1015" s="29"/>
      <c r="AF1015" s="29"/>
      <c r="AG1015" s="29"/>
      <c r="AH1015" s="29"/>
      <c r="AI1015" s="29"/>
      <c r="AJ1015" s="29"/>
      <c r="AK1015" s="29"/>
      <c r="AL1015" s="29"/>
      <c r="AM1015" s="29"/>
      <c r="AN1015" s="29"/>
      <c r="AO1015" s="29"/>
      <c r="AP1015" s="29"/>
      <c r="AQ1015" s="29"/>
      <c r="AR1015" s="29"/>
      <c r="AS1015" s="29"/>
      <c r="AT1015" s="19" t="s">
        <v>160</v>
      </c>
      <c r="BB1015" s="19"/>
      <c r="BC1015" s="19"/>
      <c r="BD1015" s="19"/>
      <c r="BE1015" s="19"/>
    </row>
    <row r="1016" spans="1:57" x14ac:dyDescent="0.25">
      <c r="A1016" s="6" t="s">
        <v>8</v>
      </c>
      <c r="B1016" s="9">
        <v>161920</v>
      </c>
      <c r="C1016" s="9" t="s">
        <v>1506</v>
      </c>
      <c r="D1016" s="9" t="s">
        <v>1507</v>
      </c>
      <c r="E1016" s="3">
        <v>65.752700000000004</v>
      </c>
      <c r="F1016" s="3">
        <v>21.765000000000001</v>
      </c>
      <c r="G1016" s="9">
        <v>9</v>
      </c>
      <c r="H1016" s="9" t="s">
        <v>150</v>
      </c>
      <c r="I1016" s="6" t="s">
        <v>8</v>
      </c>
      <c r="J1016" s="21" t="s">
        <v>8</v>
      </c>
      <c r="K1016" s="3" t="s">
        <v>5</v>
      </c>
      <c r="L1016" s="5" t="s">
        <v>2693</v>
      </c>
      <c r="M1016" s="7" t="s">
        <v>717</v>
      </c>
      <c r="N1016" s="19" t="s">
        <v>2281</v>
      </c>
      <c r="O1016" s="22"/>
      <c r="P1016" s="19" t="s">
        <v>160</v>
      </c>
      <c r="AR1016" s="19" t="s">
        <v>160</v>
      </c>
      <c r="AT1016" s="19" t="s">
        <v>160</v>
      </c>
      <c r="AX1016" s="19" t="s">
        <v>160</v>
      </c>
      <c r="BB1016" s="19"/>
      <c r="BC1016" s="19"/>
      <c r="BD1016" s="19"/>
      <c r="BE1016" s="19"/>
    </row>
    <row r="1017" spans="1:57" x14ac:dyDescent="0.25">
      <c r="A1017" s="76" t="s">
        <v>8</v>
      </c>
      <c r="B1017" s="53">
        <v>71470</v>
      </c>
      <c r="C1017" s="53" t="s">
        <v>2394</v>
      </c>
      <c r="D1017" s="53" t="s">
        <v>2390</v>
      </c>
      <c r="E1017" s="3">
        <v>57.778599999999997</v>
      </c>
      <c r="F1017" s="3">
        <v>11.882400000000001</v>
      </c>
      <c r="G1017" s="53">
        <v>20</v>
      </c>
      <c r="H1017" s="53"/>
      <c r="I1017" s="76" t="s">
        <v>8</v>
      </c>
      <c r="J1017" s="9" t="s">
        <v>8</v>
      </c>
      <c r="K1017" s="54" t="s">
        <v>5</v>
      </c>
      <c r="L1017" s="5" t="s">
        <v>2680</v>
      </c>
      <c r="M1017" s="7" t="s">
        <v>717</v>
      </c>
      <c r="N1017" s="19" t="s">
        <v>2393</v>
      </c>
      <c r="O1017" s="22"/>
      <c r="P1017" s="19" t="s">
        <v>160</v>
      </c>
      <c r="AR1017" s="19" t="s">
        <v>160</v>
      </c>
      <c r="AT1017" s="19" t="s">
        <v>160</v>
      </c>
      <c r="AV1017" s="19" t="s">
        <v>160</v>
      </c>
      <c r="AX1017" s="19" t="s">
        <v>160</v>
      </c>
      <c r="AZ1017" s="19" t="s">
        <v>160</v>
      </c>
      <c r="BB1017" s="19"/>
      <c r="BC1017" s="19"/>
      <c r="BD1017" s="19"/>
      <c r="BE1017" s="19"/>
    </row>
    <row r="1018" spans="1:57" x14ac:dyDescent="0.25">
      <c r="A1018" s="76" t="s">
        <v>8</v>
      </c>
      <c r="B1018" s="53">
        <v>71500</v>
      </c>
      <c r="C1018" s="53" t="s">
        <v>2391</v>
      </c>
      <c r="D1018" s="53" t="s">
        <v>2392</v>
      </c>
      <c r="E1018" s="3">
        <v>57.830500000000001</v>
      </c>
      <c r="F1018" s="3">
        <v>11.92</v>
      </c>
      <c r="G1018" s="53">
        <v>20</v>
      </c>
      <c r="H1018" s="53"/>
      <c r="I1018" s="76" t="s">
        <v>8</v>
      </c>
      <c r="J1018" s="9" t="s">
        <v>8</v>
      </c>
      <c r="K1018" s="54" t="s">
        <v>5</v>
      </c>
      <c r="L1018" s="5" t="s">
        <v>2028</v>
      </c>
      <c r="M1018" s="7" t="s">
        <v>717</v>
      </c>
      <c r="N1018" s="19" t="s">
        <v>2578</v>
      </c>
      <c r="O1018" s="22"/>
      <c r="P1018" s="19" t="s">
        <v>160</v>
      </c>
      <c r="AT1018" s="19" t="s">
        <v>160</v>
      </c>
      <c r="BB1018" s="19"/>
      <c r="BC1018" s="19"/>
      <c r="BD1018" s="19"/>
      <c r="BE1018" s="19"/>
    </row>
    <row r="1019" spans="1:57" x14ac:dyDescent="0.25">
      <c r="A1019" s="9" t="s">
        <v>8</v>
      </c>
      <c r="B1019" s="27">
        <v>37108</v>
      </c>
      <c r="C1019" s="28" t="s">
        <v>2432</v>
      </c>
      <c r="D1019" s="28" t="s">
        <v>1717</v>
      </c>
      <c r="E1019" s="25">
        <v>64.166700000000006</v>
      </c>
      <c r="F1019" s="25">
        <v>20.9833</v>
      </c>
      <c r="H1019" s="9" t="s">
        <v>150</v>
      </c>
      <c r="I1019" s="9" t="s">
        <v>8</v>
      </c>
      <c r="J1019" s="7" t="s">
        <v>8</v>
      </c>
      <c r="K1019" s="6" t="s">
        <v>2455</v>
      </c>
      <c r="L1019" s="7" t="s">
        <v>2027</v>
      </c>
      <c r="M1019" s="28" t="s">
        <v>717</v>
      </c>
      <c r="N1019" s="19" t="s">
        <v>1538</v>
      </c>
      <c r="O1019" s="22"/>
      <c r="T1019" s="7"/>
      <c r="X1019" s="19" t="s">
        <v>160</v>
      </c>
      <c r="BA1019" s="7"/>
      <c r="BB1019" s="7"/>
      <c r="BC1019" s="7"/>
      <c r="BD1019" s="7"/>
      <c r="BE1019" s="7"/>
    </row>
    <row r="1020" spans="1:57" x14ac:dyDescent="0.25">
      <c r="A1020" s="9" t="s">
        <v>707</v>
      </c>
      <c r="B1020" s="39" t="s">
        <v>525</v>
      </c>
      <c r="C1020" s="39" t="s">
        <v>758</v>
      </c>
      <c r="D1020" s="40" t="s">
        <v>526</v>
      </c>
      <c r="E1020" s="46" t="s">
        <v>2221</v>
      </c>
      <c r="F1020" s="46" t="s">
        <v>2222</v>
      </c>
      <c r="G1020" s="40"/>
      <c r="H1020" s="9" t="s">
        <v>150</v>
      </c>
      <c r="I1020" s="41" t="s">
        <v>527</v>
      </c>
      <c r="J1020" s="41" t="s">
        <v>169</v>
      </c>
      <c r="K1020" s="40" t="s">
        <v>5</v>
      </c>
      <c r="L1020" s="41" t="s">
        <v>2043</v>
      </c>
      <c r="M1020" s="7" t="s">
        <v>2653</v>
      </c>
      <c r="N1020" s="19" t="s">
        <v>1127</v>
      </c>
      <c r="V1020" s="42"/>
      <c r="W1020" s="42"/>
      <c r="X1020" s="42"/>
      <c r="Y1020" s="42"/>
      <c r="Z1020" s="42"/>
      <c r="AA1020" s="42"/>
      <c r="AB1020" s="42"/>
      <c r="AC1020" s="42"/>
      <c r="AD1020" s="42"/>
      <c r="AE1020" s="42"/>
      <c r="AF1020" s="42"/>
      <c r="AG1020" s="42"/>
      <c r="AH1020" s="42"/>
      <c r="AI1020" s="42"/>
      <c r="AJ1020" s="42"/>
      <c r="AK1020" s="42"/>
      <c r="AL1020" s="42"/>
      <c r="AM1020" s="42"/>
      <c r="AN1020" s="42"/>
      <c r="AO1020" s="42"/>
      <c r="AP1020" s="42"/>
      <c r="AQ1020" s="42"/>
      <c r="AR1020" s="42" t="s">
        <v>160</v>
      </c>
      <c r="AS1020" s="42" t="s">
        <v>160</v>
      </c>
      <c r="AZ1020" s="42"/>
      <c r="BA1020" s="42"/>
      <c r="BB1020" s="42"/>
      <c r="BC1020" s="42"/>
      <c r="BD1020" s="42"/>
      <c r="BE1020" s="42"/>
    </row>
    <row r="1021" spans="1:57" x14ac:dyDescent="0.25">
      <c r="A1021" s="9" t="s">
        <v>707</v>
      </c>
      <c r="B1021" s="137" t="s">
        <v>528</v>
      </c>
      <c r="C1021" s="23" t="s">
        <v>758</v>
      </c>
      <c r="D1021" s="40" t="s">
        <v>529</v>
      </c>
      <c r="E1021" s="46" t="s">
        <v>2221</v>
      </c>
      <c r="F1021" s="46" t="s">
        <v>2222</v>
      </c>
      <c r="G1021" s="40"/>
      <c r="H1021" s="9" t="s">
        <v>150</v>
      </c>
      <c r="I1021" s="41" t="s">
        <v>527</v>
      </c>
      <c r="J1021" s="41" t="s">
        <v>169</v>
      </c>
      <c r="K1021" s="40" t="s">
        <v>6</v>
      </c>
      <c r="L1021" s="41" t="s">
        <v>2031</v>
      </c>
      <c r="M1021" s="7" t="s">
        <v>2653</v>
      </c>
      <c r="N1021" s="19" t="s">
        <v>1127</v>
      </c>
      <c r="O1021" s="42" t="s">
        <v>160</v>
      </c>
      <c r="P1021" s="19" t="s">
        <v>160</v>
      </c>
      <c r="Q1021" s="44" t="s">
        <v>1177</v>
      </c>
      <c r="S1021" s="19" t="s">
        <v>160</v>
      </c>
      <c r="T1021" s="19" t="s">
        <v>160</v>
      </c>
      <c r="U1021" s="19">
        <v>2</v>
      </c>
      <c r="V1021" s="42" t="s">
        <v>160</v>
      </c>
      <c r="W1021" s="42" t="s">
        <v>160</v>
      </c>
      <c r="X1021" s="42" t="s">
        <v>160</v>
      </c>
      <c r="Y1021" s="42" t="s">
        <v>160</v>
      </c>
      <c r="Z1021" s="42"/>
      <c r="AA1021" s="42"/>
      <c r="AB1021" s="42"/>
      <c r="AC1021" s="42"/>
      <c r="AD1021" s="42"/>
      <c r="AE1021" s="42"/>
      <c r="AF1021" s="42"/>
      <c r="AG1021" s="42"/>
      <c r="AH1021" s="42"/>
      <c r="AI1021" s="42"/>
      <c r="AJ1021" s="42"/>
      <c r="AK1021" s="42"/>
      <c r="AL1021" s="42"/>
      <c r="AM1021" s="42"/>
      <c r="AN1021" s="42"/>
      <c r="AO1021" s="42"/>
      <c r="AP1021" s="42"/>
      <c r="AQ1021" s="42"/>
      <c r="AR1021" s="42"/>
      <c r="AS1021" s="42"/>
      <c r="AZ1021" s="42"/>
      <c r="BA1021" s="42"/>
      <c r="BB1021" s="42"/>
      <c r="BC1021" s="42"/>
      <c r="BD1021" s="42"/>
      <c r="BE1021" s="42"/>
    </row>
    <row r="1022" spans="1:57" x14ac:dyDescent="0.25">
      <c r="A1022" s="53" t="s">
        <v>2763</v>
      </c>
      <c r="B1022" s="143">
        <v>35200</v>
      </c>
      <c r="C1022" s="85" t="s">
        <v>758</v>
      </c>
      <c r="D1022" s="85" t="s">
        <v>758</v>
      </c>
      <c r="E1022" s="3">
        <v>57.409255999999999</v>
      </c>
      <c r="F1022" s="3">
        <v>16.675623999999999</v>
      </c>
      <c r="G1022" s="85">
        <v>2.16</v>
      </c>
      <c r="H1022" s="9" t="s">
        <v>150</v>
      </c>
      <c r="I1022" s="14" t="s">
        <v>169</v>
      </c>
      <c r="J1022" s="85" t="s">
        <v>169</v>
      </c>
      <c r="K1022" s="9" t="s">
        <v>6</v>
      </c>
      <c r="L1022" s="7" t="s">
        <v>2031</v>
      </c>
      <c r="M1022" s="7" t="s">
        <v>2653</v>
      </c>
      <c r="N1022" s="19" t="s">
        <v>1127</v>
      </c>
      <c r="O1022" s="42" t="s">
        <v>160</v>
      </c>
      <c r="P1022" s="19" t="s">
        <v>160</v>
      </c>
      <c r="Q1022" s="44" t="s">
        <v>1177</v>
      </c>
      <c r="S1022" s="19" t="s">
        <v>160</v>
      </c>
      <c r="T1022" s="19" t="s">
        <v>160</v>
      </c>
      <c r="U1022" s="42">
        <v>2</v>
      </c>
      <c r="V1022" s="20" t="s">
        <v>160</v>
      </c>
      <c r="W1022" s="20" t="s">
        <v>160</v>
      </c>
      <c r="X1022" s="20" t="s">
        <v>160</v>
      </c>
      <c r="Y1022" s="20" t="s">
        <v>160</v>
      </c>
      <c r="Z1022" s="20"/>
      <c r="AA1022" s="20"/>
      <c r="AB1022" s="20"/>
      <c r="AC1022" s="20"/>
      <c r="AD1022" s="20"/>
      <c r="AE1022" s="20"/>
      <c r="AF1022" s="20"/>
      <c r="AG1022" s="20"/>
      <c r="AH1022" s="20"/>
      <c r="AI1022" s="20"/>
      <c r="AJ1022" s="20"/>
      <c r="AK1022" s="20"/>
      <c r="AL1022" s="20"/>
      <c r="AM1022" s="20"/>
      <c r="AN1022" s="20"/>
      <c r="AO1022" s="20"/>
      <c r="AP1022" s="20"/>
      <c r="AQ1022" s="20"/>
      <c r="AR1022" s="20"/>
      <c r="AS1022" s="20"/>
      <c r="AT1022" s="85"/>
      <c r="AU1022" s="85"/>
      <c r="AV1022" s="85"/>
      <c r="AW1022" s="85"/>
      <c r="AX1022" s="85"/>
      <c r="AY1022" s="85"/>
      <c r="AZ1022" s="85"/>
      <c r="BA1022" s="85"/>
      <c r="BB1022" s="85"/>
      <c r="BC1022" s="85"/>
      <c r="BD1022" s="85"/>
      <c r="BE1022" s="85"/>
    </row>
    <row r="1023" spans="1:57" s="94" customFormat="1" x14ac:dyDescent="0.25">
      <c r="A1023" s="105" t="s">
        <v>2773</v>
      </c>
      <c r="B1023" s="139" t="s">
        <v>2812</v>
      </c>
      <c r="C1023" s="110" t="s">
        <v>758</v>
      </c>
      <c r="D1023" s="153" t="s">
        <v>758</v>
      </c>
      <c r="E1023" s="82">
        <f>57+24/60+33.3252/3600</f>
        <v>57.409256999999997</v>
      </c>
      <c r="F1023" s="82">
        <f>16+40/60+32.2572/3600</f>
        <v>16.675627000000002</v>
      </c>
      <c r="G1023" s="178">
        <v>2.16</v>
      </c>
      <c r="H1023" s="105" t="s">
        <v>150</v>
      </c>
      <c r="I1023" s="105" t="s">
        <v>97</v>
      </c>
      <c r="J1023" s="113" t="s">
        <v>169</v>
      </c>
      <c r="K1023" s="94" t="s">
        <v>40</v>
      </c>
      <c r="L1023" s="105" t="s">
        <v>2055</v>
      </c>
      <c r="M1023" s="105" t="s">
        <v>2653</v>
      </c>
      <c r="N1023" s="108" t="s">
        <v>1127</v>
      </c>
      <c r="O1023" s="106" t="s">
        <v>160</v>
      </c>
      <c r="P1023" s="108" t="s">
        <v>160</v>
      </c>
      <c r="Q1023" s="107" t="s">
        <v>1177</v>
      </c>
      <c r="R1023" s="108"/>
      <c r="S1023" s="108" t="s">
        <v>160</v>
      </c>
      <c r="T1023" s="108" t="s">
        <v>160</v>
      </c>
      <c r="U1023" s="106">
        <v>2</v>
      </c>
      <c r="V1023" s="103" t="s">
        <v>160</v>
      </c>
      <c r="W1023" s="103" t="s">
        <v>160</v>
      </c>
      <c r="X1023" s="103" t="s">
        <v>160</v>
      </c>
      <c r="Y1023" s="103" t="s">
        <v>160</v>
      </c>
      <c r="Z1023" s="103"/>
      <c r="AA1023" s="103"/>
      <c r="AB1023" s="103"/>
      <c r="AC1023" s="103"/>
      <c r="AD1023" s="103"/>
      <c r="AE1023" s="103"/>
      <c r="AF1023" s="103"/>
      <c r="AG1023" s="103"/>
      <c r="AH1023" s="103"/>
      <c r="AI1023" s="103"/>
      <c r="AJ1023" s="103"/>
      <c r="AK1023" s="103"/>
      <c r="AL1023" s="103"/>
      <c r="AM1023" s="103"/>
      <c r="AN1023" s="103"/>
      <c r="AO1023" s="103"/>
      <c r="AP1023" s="103"/>
      <c r="AQ1023" s="103"/>
      <c r="AR1023" s="103" t="s">
        <v>160</v>
      </c>
      <c r="AS1023" s="103" t="s">
        <v>160</v>
      </c>
      <c r="AT1023" s="103"/>
      <c r="AU1023" s="103"/>
      <c r="AV1023" s="103"/>
      <c r="AW1023" s="103"/>
      <c r="AX1023" s="103"/>
      <c r="AY1023" s="103"/>
      <c r="AZ1023" s="103"/>
      <c r="BA1023" s="103"/>
      <c r="BB1023" s="103"/>
      <c r="BC1023" s="103"/>
      <c r="BD1023" s="103"/>
      <c r="BE1023" s="103"/>
    </row>
    <row r="1024" spans="1:57" x14ac:dyDescent="0.25">
      <c r="A1024" s="7" t="s">
        <v>8</v>
      </c>
      <c r="B1024" s="142" t="s">
        <v>2933</v>
      </c>
      <c r="C1024" s="23" t="s">
        <v>758</v>
      </c>
      <c r="D1024" s="24" t="s">
        <v>758</v>
      </c>
      <c r="E1024" s="193">
        <v>57.410299999999999</v>
      </c>
      <c r="F1024" s="193">
        <v>16.675799999999999</v>
      </c>
      <c r="G1024" s="43"/>
      <c r="H1024" s="7" t="s">
        <v>150</v>
      </c>
      <c r="I1024" s="7" t="s">
        <v>97</v>
      </c>
      <c r="J1024" s="41" t="s">
        <v>169</v>
      </c>
      <c r="K1024" s="9" t="s">
        <v>40</v>
      </c>
      <c r="L1024" s="7" t="s">
        <v>2055</v>
      </c>
      <c r="M1024" s="7" t="s">
        <v>2653</v>
      </c>
      <c r="N1024" s="19" t="s">
        <v>1127</v>
      </c>
      <c r="O1024" s="42" t="s">
        <v>160</v>
      </c>
      <c r="P1024" s="19" t="s">
        <v>160</v>
      </c>
      <c r="Q1024" s="44" t="s">
        <v>1177</v>
      </c>
      <c r="S1024" s="19" t="s">
        <v>160</v>
      </c>
      <c r="T1024" s="19" t="s">
        <v>160</v>
      </c>
      <c r="U1024" s="42">
        <v>2</v>
      </c>
      <c r="V1024" s="20" t="s">
        <v>160</v>
      </c>
      <c r="W1024" s="20" t="s">
        <v>160</v>
      </c>
      <c r="X1024" s="20" t="s">
        <v>160</v>
      </c>
      <c r="Y1024" s="20" t="s">
        <v>160</v>
      </c>
      <c r="Z1024" s="20"/>
      <c r="AA1024" s="20"/>
      <c r="AB1024" s="20"/>
      <c r="AC1024" s="20"/>
      <c r="AD1024" s="20"/>
      <c r="AE1024" s="20"/>
      <c r="AF1024" s="20"/>
      <c r="AG1024" s="20"/>
      <c r="AH1024" s="20"/>
      <c r="AI1024" s="20"/>
      <c r="AJ1024" s="20"/>
      <c r="AK1024" s="20"/>
      <c r="AL1024" s="20"/>
      <c r="AM1024" s="20"/>
      <c r="AN1024" s="20"/>
      <c r="AO1024" s="20"/>
      <c r="AP1024" s="20"/>
      <c r="AQ1024" s="20"/>
      <c r="AR1024" s="20" t="s">
        <v>160</v>
      </c>
      <c r="AS1024" s="20" t="s">
        <v>160</v>
      </c>
      <c r="AT1024" s="20"/>
      <c r="AU1024" s="20"/>
      <c r="AV1024" s="20"/>
      <c r="AW1024" s="20"/>
      <c r="AX1024" s="20"/>
      <c r="AY1024" s="20"/>
      <c r="AZ1024" s="20"/>
      <c r="BA1024" s="20"/>
      <c r="BB1024" s="20"/>
      <c r="BC1024" s="20"/>
      <c r="BD1024" s="20"/>
      <c r="BE1024" s="20"/>
    </row>
    <row r="1025" spans="1:57" x14ac:dyDescent="0.25">
      <c r="A1025" s="9" t="s">
        <v>706</v>
      </c>
      <c r="B1025" s="140">
        <v>77</v>
      </c>
      <c r="C1025" s="23" t="s">
        <v>758</v>
      </c>
      <c r="D1025" s="62" t="s">
        <v>96</v>
      </c>
      <c r="E1025" s="3">
        <v>57.409149999999997</v>
      </c>
      <c r="F1025" s="3">
        <v>16.675933000000001</v>
      </c>
      <c r="H1025" s="9" t="s">
        <v>150</v>
      </c>
      <c r="I1025" s="41" t="s">
        <v>527</v>
      </c>
      <c r="J1025" s="41" t="s">
        <v>169</v>
      </c>
      <c r="K1025" s="9" t="s">
        <v>40</v>
      </c>
      <c r="L1025" s="7" t="s">
        <v>2055</v>
      </c>
      <c r="M1025" s="7" t="s">
        <v>2653</v>
      </c>
      <c r="N1025" s="19" t="s">
        <v>1127</v>
      </c>
      <c r="O1025" s="42" t="s">
        <v>160</v>
      </c>
      <c r="P1025" s="19" t="s">
        <v>160</v>
      </c>
      <c r="Q1025" s="44" t="s">
        <v>1177</v>
      </c>
      <c r="S1025" s="19" t="s">
        <v>160</v>
      </c>
      <c r="T1025" s="19" t="s">
        <v>160</v>
      </c>
      <c r="U1025" s="19">
        <v>2</v>
      </c>
      <c r="V1025" s="19" t="s">
        <v>160</v>
      </c>
      <c r="W1025" s="19" t="s">
        <v>160</v>
      </c>
      <c r="X1025" s="19" t="s">
        <v>160</v>
      </c>
      <c r="Y1025" s="19" t="s">
        <v>160</v>
      </c>
      <c r="AR1025" s="19" t="s">
        <v>160</v>
      </c>
      <c r="AS1025" s="19" t="s">
        <v>160</v>
      </c>
      <c r="BB1025" s="19"/>
      <c r="BC1025" s="19"/>
      <c r="BD1025" s="19"/>
      <c r="BE1025" s="19"/>
    </row>
    <row r="1026" spans="1:57" x14ac:dyDescent="0.25">
      <c r="A1026" s="9" t="s">
        <v>707</v>
      </c>
      <c r="B1026" s="137" t="s">
        <v>530</v>
      </c>
      <c r="C1026" s="23" t="s">
        <v>764</v>
      </c>
      <c r="D1026" s="40" t="s">
        <v>531</v>
      </c>
      <c r="E1026" s="46" t="s">
        <v>533</v>
      </c>
      <c r="F1026" s="46" t="s">
        <v>532</v>
      </c>
      <c r="G1026" s="40"/>
      <c r="H1026" s="9" t="s">
        <v>150</v>
      </c>
      <c r="I1026" s="41" t="s">
        <v>8</v>
      </c>
      <c r="J1026" s="41" t="s">
        <v>8</v>
      </c>
      <c r="K1026" s="40" t="s">
        <v>6</v>
      </c>
      <c r="L1026" s="41" t="s">
        <v>2030</v>
      </c>
      <c r="M1026" s="7" t="s">
        <v>2653</v>
      </c>
      <c r="N1026" s="42" t="s">
        <v>1111</v>
      </c>
      <c r="O1026" s="22"/>
      <c r="P1026" s="42" t="s">
        <v>160</v>
      </c>
      <c r="Q1026" s="44" t="s">
        <v>1175</v>
      </c>
      <c r="R1026" s="44" t="s">
        <v>1616</v>
      </c>
      <c r="S1026" s="19" t="s">
        <v>160</v>
      </c>
      <c r="T1026" s="19" t="s">
        <v>160</v>
      </c>
      <c r="U1026" s="19">
        <v>1</v>
      </c>
      <c r="V1026" s="42" t="s">
        <v>160</v>
      </c>
      <c r="W1026" s="42" t="s">
        <v>160</v>
      </c>
      <c r="X1026" s="42"/>
      <c r="Y1026" s="42"/>
      <c r="Z1026" s="42"/>
      <c r="AA1026" s="42"/>
      <c r="AB1026" s="42"/>
      <c r="AC1026" s="42"/>
      <c r="AD1026" s="42"/>
      <c r="AE1026" s="42"/>
      <c r="AF1026" s="42"/>
      <c r="AG1026" s="42"/>
      <c r="AH1026" s="42"/>
      <c r="AI1026" s="42"/>
      <c r="AJ1026" s="42"/>
      <c r="AK1026" s="42"/>
      <c r="AL1026" s="42"/>
      <c r="AM1026" s="42"/>
      <c r="AN1026" s="42"/>
      <c r="AO1026" s="42"/>
      <c r="AP1026" s="42"/>
      <c r="AQ1026" s="42"/>
      <c r="AR1026" s="42"/>
      <c r="AS1026" s="42"/>
      <c r="AZ1026" s="42"/>
      <c r="BA1026" s="42"/>
      <c r="BB1026" s="42"/>
      <c r="BC1026" s="42"/>
      <c r="BD1026" s="42"/>
      <c r="BE1026" s="42"/>
    </row>
    <row r="1027" spans="1:57" x14ac:dyDescent="0.25">
      <c r="A1027" s="53" t="s">
        <v>2763</v>
      </c>
      <c r="B1027" s="143">
        <v>2320</v>
      </c>
      <c r="C1027" s="85" t="s">
        <v>764</v>
      </c>
      <c r="D1027" s="85" t="s">
        <v>764</v>
      </c>
      <c r="E1027" s="35">
        <v>55.557499999999997</v>
      </c>
      <c r="F1027" s="35">
        <v>14.357778</v>
      </c>
      <c r="G1027" s="85"/>
      <c r="H1027" s="9" t="s">
        <v>150</v>
      </c>
      <c r="I1027" s="14" t="s">
        <v>8</v>
      </c>
      <c r="J1027" s="85" t="s">
        <v>8</v>
      </c>
      <c r="K1027" s="7" t="s">
        <v>6</v>
      </c>
      <c r="L1027" s="7" t="s">
        <v>2030</v>
      </c>
      <c r="M1027" s="7" t="s">
        <v>2653</v>
      </c>
      <c r="N1027" s="42" t="s">
        <v>1111</v>
      </c>
      <c r="O1027" s="22"/>
      <c r="P1027" s="42" t="s">
        <v>160</v>
      </c>
      <c r="Q1027" s="44" t="s">
        <v>1175</v>
      </c>
      <c r="R1027" s="44" t="s">
        <v>1616</v>
      </c>
      <c r="S1027" s="19" t="s">
        <v>160</v>
      </c>
      <c r="T1027" s="19" t="s">
        <v>160</v>
      </c>
      <c r="U1027" s="42">
        <v>1</v>
      </c>
      <c r="V1027" s="20" t="s">
        <v>160</v>
      </c>
      <c r="W1027" s="20" t="s">
        <v>160</v>
      </c>
      <c r="X1027" s="85"/>
      <c r="Y1027" s="85"/>
      <c r="Z1027" s="85"/>
      <c r="AA1027" s="85"/>
      <c r="AB1027" s="85"/>
      <c r="AC1027" s="85"/>
      <c r="AD1027" s="85"/>
      <c r="AE1027" s="85"/>
      <c r="AF1027" s="85"/>
      <c r="AG1027" s="85"/>
      <c r="AH1027" s="85"/>
      <c r="AI1027" s="85"/>
      <c r="AJ1027" s="85"/>
      <c r="AK1027" s="85"/>
      <c r="AL1027" s="85"/>
      <c r="AM1027" s="85"/>
      <c r="AN1027" s="85"/>
      <c r="AO1027" s="85"/>
      <c r="AP1027" s="85"/>
      <c r="AQ1027" s="85"/>
      <c r="AR1027" s="85"/>
      <c r="AS1027" s="85"/>
      <c r="AT1027" s="85"/>
      <c r="AU1027" s="85"/>
      <c r="AV1027" s="85"/>
      <c r="AW1027" s="85"/>
      <c r="AX1027" s="85"/>
      <c r="AY1027" s="85"/>
      <c r="AZ1027" s="85"/>
      <c r="BA1027" s="85"/>
      <c r="BB1027" s="85"/>
      <c r="BC1027" s="85"/>
      <c r="BD1027" s="85"/>
      <c r="BE1027" s="85"/>
    </row>
    <row r="1028" spans="1:57" s="94" customFormat="1" x14ac:dyDescent="0.25">
      <c r="A1028" s="105" t="s">
        <v>2773</v>
      </c>
      <c r="B1028" s="139" t="s">
        <v>2813</v>
      </c>
      <c r="C1028" s="110" t="s">
        <v>764</v>
      </c>
      <c r="D1028" s="153" t="s">
        <v>764</v>
      </c>
      <c r="E1028" s="81">
        <f>55+33/60+27.4/3600</f>
        <v>55.557611111111108</v>
      </c>
      <c r="F1028" s="81">
        <f>14+21/60+27.8/3600</f>
        <v>14.357722222222222</v>
      </c>
      <c r="G1028" s="81"/>
      <c r="H1028" s="105" t="s">
        <v>150</v>
      </c>
      <c r="I1028" s="105" t="s">
        <v>8</v>
      </c>
      <c r="J1028" s="105" t="s">
        <v>8</v>
      </c>
      <c r="K1028" s="105" t="s">
        <v>6</v>
      </c>
      <c r="L1028" s="105" t="s">
        <v>2030</v>
      </c>
      <c r="M1028" s="105" t="s">
        <v>2653</v>
      </c>
      <c r="N1028" s="106" t="s">
        <v>1111</v>
      </c>
      <c r="O1028" s="104"/>
      <c r="P1028" s="106" t="s">
        <v>160</v>
      </c>
      <c r="Q1028" s="107" t="s">
        <v>1175</v>
      </c>
      <c r="R1028" s="107" t="s">
        <v>1616</v>
      </c>
      <c r="S1028" s="108" t="s">
        <v>160</v>
      </c>
      <c r="T1028" s="108" t="s">
        <v>160</v>
      </c>
      <c r="U1028" s="106">
        <v>1</v>
      </c>
      <c r="V1028" s="103" t="s">
        <v>160</v>
      </c>
      <c r="W1028" s="103" t="s">
        <v>160</v>
      </c>
      <c r="X1028" s="103"/>
      <c r="Y1028" s="103"/>
      <c r="Z1028" s="103"/>
      <c r="AA1028" s="103"/>
      <c r="AB1028" s="103"/>
      <c r="AC1028" s="103"/>
      <c r="AD1028" s="103"/>
      <c r="AE1028" s="103"/>
      <c r="AF1028" s="103"/>
      <c r="AG1028" s="103"/>
      <c r="AH1028" s="103"/>
      <c r="AI1028" s="103"/>
      <c r="AJ1028" s="103"/>
      <c r="AK1028" s="103"/>
      <c r="AL1028" s="103"/>
      <c r="AM1028" s="103"/>
      <c r="AN1028" s="103"/>
      <c r="AO1028" s="103"/>
      <c r="AP1028" s="103"/>
      <c r="AQ1028" s="103"/>
      <c r="AR1028" s="103"/>
      <c r="AS1028" s="103"/>
      <c r="AT1028" s="103"/>
      <c r="AU1028" s="103"/>
      <c r="AV1028" s="103"/>
      <c r="AW1028" s="103"/>
      <c r="AX1028" s="103"/>
      <c r="AY1028" s="103"/>
      <c r="AZ1028" s="103"/>
      <c r="BA1028" s="103"/>
      <c r="BB1028" s="103"/>
      <c r="BC1028" s="103"/>
      <c r="BD1028" s="103"/>
      <c r="BE1028" s="103"/>
    </row>
    <row r="1029" spans="1:57" x14ac:dyDescent="0.25">
      <c r="A1029" s="7" t="s">
        <v>8</v>
      </c>
      <c r="B1029" s="142" t="s">
        <v>2945</v>
      </c>
      <c r="C1029" s="23" t="s">
        <v>764</v>
      </c>
      <c r="D1029" t="s">
        <v>764</v>
      </c>
      <c r="E1029" s="193">
        <v>55.557600000000001</v>
      </c>
      <c r="F1029" s="193">
        <v>14.357699999999999</v>
      </c>
      <c r="G1029" s="43"/>
      <c r="H1029" s="7" t="s">
        <v>150</v>
      </c>
      <c r="I1029" s="7" t="s">
        <v>8</v>
      </c>
      <c r="J1029" s="7" t="s">
        <v>8</v>
      </c>
      <c r="K1029" s="7" t="s">
        <v>6</v>
      </c>
      <c r="L1029" s="7" t="s">
        <v>2030</v>
      </c>
      <c r="M1029" s="7" t="s">
        <v>2653</v>
      </c>
      <c r="N1029" s="42" t="s">
        <v>1111</v>
      </c>
      <c r="O1029" s="22"/>
      <c r="P1029" s="42" t="s">
        <v>160</v>
      </c>
      <c r="Q1029" s="44" t="s">
        <v>1175</v>
      </c>
      <c r="R1029" s="44" t="s">
        <v>1616</v>
      </c>
      <c r="S1029" s="19" t="s">
        <v>160</v>
      </c>
      <c r="T1029" s="19" t="s">
        <v>160</v>
      </c>
      <c r="U1029" s="42">
        <v>1</v>
      </c>
      <c r="V1029" s="20" t="s">
        <v>160</v>
      </c>
      <c r="W1029" s="20" t="s">
        <v>160</v>
      </c>
      <c r="X1029" s="20"/>
      <c r="Y1029" s="20"/>
      <c r="Z1029" s="20"/>
      <c r="AA1029" s="20"/>
      <c r="AB1029" s="20"/>
      <c r="AC1029" s="20"/>
      <c r="AD1029" s="20"/>
      <c r="AE1029" s="20"/>
      <c r="AF1029" s="20"/>
      <c r="AG1029" s="20"/>
      <c r="AH1029" s="20"/>
      <c r="AI1029" s="20"/>
      <c r="AJ1029" s="20"/>
      <c r="AK1029" s="20"/>
      <c r="AL1029" s="20"/>
      <c r="AM1029" s="20"/>
      <c r="AN1029" s="20"/>
      <c r="AO1029" s="20"/>
      <c r="AP1029" s="20"/>
      <c r="AQ1029" s="20"/>
      <c r="AR1029" s="20"/>
      <c r="AS1029" s="20"/>
      <c r="AT1029" s="20"/>
      <c r="AU1029" s="20"/>
      <c r="AV1029" s="20"/>
      <c r="AW1029" s="20"/>
      <c r="AX1029" s="20"/>
      <c r="AY1029" s="20"/>
      <c r="AZ1029" s="20"/>
      <c r="BA1029" s="20"/>
      <c r="BB1029" s="20"/>
      <c r="BC1029" s="20"/>
      <c r="BD1029" s="20"/>
      <c r="BE1029" s="20"/>
    </row>
    <row r="1030" spans="1:57" x14ac:dyDescent="0.25">
      <c r="A1030" s="9" t="s">
        <v>706</v>
      </c>
      <c r="B1030" s="140">
        <v>157</v>
      </c>
      <c r="C1030" s="23" t="s">
        <v>764</v>
      </c>
      <c r="D1030" s="62" t="s">
        <v>98</v>
      </c>
      <c r="E1030" s="3">
        <f>55+33/60+27/3600</f>
        <v>55.557499999999997</v>
      </c>
      <c r="F1030" s="3">
        <f>14+21/60+28/3600</f>
        <v>14.357777777777777</v>
      </c>
      <c r="G1030" s="43"/>
      <c r="H1030" s="9" t="s">
        <v>150</v>
      </c>
      <c r="I1030" s="7" t="s">
        <v>8</v>
      </c>
      <c r="J1030" s="7" t="s">
        <v>8</v>
      </c>
      <c r="K1030" s="9" t="s">
        <v>6</v>
      </c>
      <c r="L1030" s="7" t="s">
        <v>2030</v>
      </c>
      <c r="M1030" s="7" t="s">
        <v>2653</v>
      </c>
      <c r="N1030" s="42" t="s">
        <v>1111</v>
      </c>
      <c r="O1030" s="22"/>
      <c r="P1030" s="42" t="s">
        <v>160</v>
      </c>
      <c r="Q1030" s="44" t="s">
        <v>1175</v>
      </c>
      <c r="R1030" s="44" t="s">
        <v>1616</v>
      </c>
      <c r="S1030" s="19" t="s">
        <v>160</v>
      </c>
      <c r="T1030" s="19" t="s">
        <v>160</v>
      </c>
      <c r="U1030" s="19">
        <v>1</v>
      </c>
      <c r="V1030" s="19" t="s">
        <v>160</v>
      </c>
      <c r="W1030" s="19" t="s">
        <v>160</v>
      </c>
      <c r="BB1030" s="19"/>
      <c r="BC1030" s="19"/>
      <c r="BD1030" s="19"/>
      <c r="BE1030" s="19"/>
    </row>
    <row r="1031" spans="1:57" x14ac:dyDescent="0.25">
      <c r="A1031" s="6" t="s">
        <v>8</v>
      </c>
      <c r="B1031" s="9">
        <v>54330</v>
      </c>
      <c r="C1031" s="9" t="s">
        <v>2285</v>
      </c>
      <c r="D1031" s="9" t="s">
        <v>764</v>
      </c>
      <c r="E1031" s="3">
        <v>55.544899999999998</v>
      </c>
      <c r="F1031" s="3">
        <v>14.357799999999999</v>
      </c>
      <c r="G1031" s="9">
        <v>13</v>
      </c>
      <c r="H1031" s="9" t="s">
        <v>150</v>
      </c>
      <c r="I1031" s="6" t="s">
        <v>8</v>
      </c>
      <c r="J1031" s="21" t="s">
        <v>8</v>
      </c>
      <c r="K1031" s="3" t="s">
        <v>5</v>
      </c>
      <c r="L1031" s="5" t="s">
        <v>2680</v>
      </c>
      <c r="M1031" s="7" t="s">
        <v>717</v>
      </c>
      <c r="N1031" s="19" t="s">
        <v>2527</v>
      </c>
      <c r="O1031" s="22"/>
      <c r="P1031" s="19" t="s">
        <v>160</v>
      </c>
      <c r="AR1031" s="19" t="s">
        <v>160</v>
      </c>
      <c r="AT1031" s="19" t="s">
        <v>160</v>
      </c>
      <c r="AV1031" s="19" t="s">
        <v>160</v>
      </c>
      <c r="AX1031" s="19" t="s">
        <v>160</v>
      </c>
      <c r="AZ1031" s="19" t="s">
        <v>160</v>
      </c>
      <c r="BB1031" s="19"/>
      <c r="BC1031" s="19"/>
      <c r="BD1031" s="19"/>
      <c r="BE1031" s="19"/>
    </row>
    <row r="1032" spans="1:57" s="94" customFormat="1" x14ac:dyDescent="0.25">
      <c r="A1032" s="9" t="s">
        <v>707</v>
      </c>
      <c r="B1032" s="137" t="s">
        <v>534</v>
      </c>
      <c r="C1032" s="23" t="s">
        <v>870</v>
      </c>
      <c r="D1032" s="40" t="s">
        <v>535</v>
      </c>
      <c r="E1032" s="46" t="s">
        <v>2151</v>
      </c>
      <c r="F1032" s="46" t="s">
        <v>2152</v>
      </c>
      <c r="G1032" s="40"/>
      <c r="H1032" s="9" t="s">
        <v>148</v>
      </c>
      <c r="I1032" s="41" t="s">
        <v>169</v>
      </c>
      <c r="J1032" s="41" t="s">
        <v>169</v>
      </c>
      <c r="K1032" s="40" t="s">
        <v>6</v>
      </c>
      <c r="L1032" s="41" t="s">
        <v>2030</v>
      </c>
      <c r="M1032" s="7" t="s">
        <v>2653</v>
      </c>
      <c r="N1032" s="19"/>
      <c r="O1032" s="19"/>
      <c r="P1032" s="19"/>
      <c r="Q1032" s="19"/>
      <c r="R1032" s="19"/>
      <c r="S1032" s="19"/>
      <c r="T1032" s="19"/>
      <c r="U1032" s="19"/>
      <c r="V1032" s="42" t="s">
        <v>160</v>
      </c>
      <c r="W1032" s="42" t="s">
        <v>160</v>
      </c>
      <c r="X1032" s="42"/>
      <c r="Y1032" s="42"/>
      <c r="Z1032" s="42"/>
      <c r="AA1032" s="42"/>
      <c r="AB1032" s="42"/>
      <c r="AC1032" s="42"/>
      <c r="AD1032" s="42"/>
      <c r="AE1032" s="42"/>
      <c r="AF1032" s="42"/>
      <c r="AG1032" s="42"/>
      <c r="AH1032" s="42"/>
      <c r="AI1032" s="42"/>
      <c r="AJ1032" s="42"/>
      <c r="AK1032" s="42"/>
      <c r="AL1032" s="42"/>
      <c r="AM1032" s="42"/>
      <c r="AN1032" s="42"/>
      <c r="AO1032" s="42"/>
      <c r="AP1032" s="42"/>
      <c r="AQ1032" s="42"/>
      <c r="AR1032" s="42"/>
      <c r="AS1032" s="42"/>
      <c r="AT1032" s="19"/>
      <c r="AU1032" s="19"/>
      <c r="AV1032" s="19"/>
      <c r="AW1032" s="19"/>
      <c r="AX1032" s="19"/>
      <c r="AY1032" s="19"/>
      <c r="AZ1032" s="42"/>
      <c r="BA1032" s="42"/>
      <c r="BB1032" s="42"/>
      <c r="BC1032" s="42"/>
      <c r="BD1032" s="42"/>
      <c r="BE1032" s="42"/>
    </row>
    <row r="1033" spans="1:57" x14ac:dyDescent="0.25">
      <c r="A1033" s="114" t="s">
        <v>2773</v>
      </c>
      <c r="B1033" s="139" t="s">
        <v>3016</v>
      </c>
      <c r="C1033" s="110" t="s">
        <v>870</v>
      </c>
      <c r="D1033" s="153" t="s">
        <v>99</v>
      </c>
      <c r="E1033" s="83">
        <f>58+50/60+12.66/3600</f>
        <v>58.836850000000005</v>
      </c>
      <c r="F1033" s="83">
        <f>13+58/60+32.0412/3600</f>
        <v>13.975567</v>
      </c>
      <c r="G1033" s="93"/>
      <c r="H1033" s="94" t="s">
        <v>148</v>
      </c>
      <c r="I1033" s="102" t="s">
        <v>169</v>
      </c>
      <c r="J1033" s="102" t="s">
        <v>169</v>
      </c>
      <c r="K1033" s="102" t="s">
        <v>6</v>
      </c>
      <c r="L1033" s="102" t="s">
        <v>2030</v>
      </c>
      <c r="M1033" s="105" t="s">
        <v>2653</v>
      </c>
      <c r="N1033" s="108"/>
      <c r="O1033" s="108"/>
      <c r="P1033" s="108"/>
      <c r="Q1033" s="108"/>
      <c r="R1033" s="108"/>
      <c r="S1033" s="108"/>
      <c r="T1033" s="108"/>
      <c r="U1033" s="108"/>
      <c r="V1033" s="108" t="s">
        <v>160</v>
      </c>
      <c r="W1033" s="108" t="s">
        <v>160</v>
      </c>
      <c r="X1033" s="108"/>
      <c r="Y1033" s="108"/>
      <c r="Z1033" s="108"/>
      <c r="AA1033" s="108"/>
      <c r="AB1033" s="108"/>
      <c r="AC1033" s="108"/>
      <c r="AD1033" s="108"/>
      <c r="AE1033" s="108"/>
      <c r="AF1033" s="108"/>
      <c r="AG1033" s="108"/>
      <c r="AH1033" s="108"/>
      <c r="AI1033" s="108"/>
      <c r="AJ1033" s="108"/>
      <c r="AK1033" s="108"/>
      <c r="AL1033" s="108"/>
      <c r="AM1033" s="108"/>
      <c r="AN1033" s="108"/>
      <c r="AO1033" s="108"/>
      <c r="AP1033" s="108"/>
      <c r="AQ1033" s="108"/>
      <c r="AR1033" s="108"/>
      <c r="AS1033" s="108"/>
      <c r="AT1033" s="108"/>
      <c r="AU1033" s="108"/>
      <c r="AV1033" s="108"/>
      <c r="AW1033" s="108"/>
      <c r="AX1033" s="108"/>
      <c r="AY1033" s="108"/>
      <c r="AZ1033" s="108"/>
      <c r="BA1033" s="108"/>
      <c r="BB1033" s="108"/>
      <c r="BC1033" s="108"/>
      <c r="BD1033" s="108"/>
      <c r="BE1033" s="108"/>
    </row>
    <row r="1034" spans="1:57" x14ac:dyDescent="0.25">
      <c r="A1034" s="6" t="s">
        <v>8</v>
      </c>
      <c r="B1034" s="142">
        <v>35169</v>
      </c>
      <c r="C1034" s="23" t="s">
        <v>870</v>
      </c>
      <c r="D1034" s="24" t="s">
        <v>826</v>
      </c>
      <c r="E1034" s="46">
        <f>58+50/60+12.66/3600</f>
        <v>58.836850000000005</v>
      </c>
      <c r="F1034" s="46">
        <f>13+58/60+32.0412/3600</f>
        <v>13.975567</v>
      </c>
      <c r="G1034" s="5"/>
      <c r="H1034" s="9" t="s">
        <v>148</v>
      </c>
      <c r="I1034" s="24" t="s">
        <v>169</v>
      </c>
      <c r="J1034" s="24" t="s">
        <v>169</v>
      </c>
      <c r="K1034" s="24" t="s">
        <v>6</v>
      </c>
      <c r="L1034" s="24" t="s">
        <v>2030</v>
      </c>
      <c r="M1034" s="7" t="s">
        <v>2653</v>
      </c>
      <c r="V1034" s="19" t="s">
        <v>160</v>
      </c>
      <c r="W1034" s="19" t="s">
        <v>160</v>
      </c>
      <c r="BB1034" s="19"/>
      <c r="BC1034" s="19"/>
      <c r="BD1034" s="19"/>
      <c r="BE1034" s="19"/>
    </row>
    <row r="1035" spans="1:57" x14ac:dyDescent="0.25">
      <c r="A1035" s="9" t="s">
        <v>706</v>
      </c>
      <c r="B1035" s="140">
        <v>78</v>
      </c>
      <c r="C1035" s="23" t="s">
        <v>870</v>
      </c>
      <c r="D1035" s="62" t="s">
        <v>99</v>
      </c>
      <c r="E1035" s="3">
        <f>58+50/60+13/3600</f>
        <v>58.836944444444448</v>
      </c>
      <c r="F1035" s="3">
        <f>13+58/60+32/3600</f>
        <v>13.975555555555555</v>
      </c>
      <c r="G1035" s="5"/>
      <c r="H1035" s="9" t="s">
        <v>148</v>
      </c>
      <c r="I1035" s="7" t="s">
        <v>169</v>
      </c>
      <c r="J1035" s="7" t="s">
        <v>169</v>
      </c>
      <c r="K1035" s="9" t="s">
        <v>6</v>
      </c>
      <c r="L1035" s="7" t="s">
        <v>2030</v>
      </c>
      <c r="M1035" s="7" t="s">
        <v>2653</v>
      </c>
      <c r="V1035" s="19" t="s">
        <v>160</v>
      </c>
      <c r="W1035" s="19" t="s">
        <v>160</v>
      </c>
      <c r="BB1035" s="19"/>
      <c r="BC1035" s="19"/>
      <c r="BD1035" s="19"/>
      <c r="BE1035" s="19"/>
    </row>
    <row r="1036" spans="1:57" x14ac:dyDescent="0.25">
      <c r="A1036" s="6" t="s">
        <v>8</v>
      </c>
      <c r="B1036" s="9">
        <v>139630</v>
      </c>
      <c r="C1036" s="9" t="s">
        <v>2411</v>
      </c>
      <c r="D1036" s="9" t="s">
        <v>1508</v>
      </c>
      <c r="E1036" s="3">
        <v>63.199199999999998</v>
      </c>
      <c r="F1036" s="3">
        <v>19.046199999999999</v>
      </c>
      <c r="G1036" s="9">
        <v>10</v>
      </c>
      <c r="H1036" s="9" t="s">
        <v>150</v>
      </c>
      <c r="I1036" s="6" t="s">
        <v>8</v>
      </c>
      <c r="J1036" s="21" t="s">
        <v>8</v>
      </c>
      <c r="K1036" s="3" t="s">
        <v>5</v>
      </c>
      <c r="L1036" s="5" t="s">
        <v>2689</v>
      </c>
      <c r="M1036" s="7" t="s">
        <v>717</v>
      </c>
      <c r="N1036" s="19" t="s">
        <v>2528</v>
      </c>
      <c r="O1036" s="22"/>
      <c r="P1036" s="19" t="s">
        <v>160</v>
      </c>
      <c r="AR1036" s="19" t="s">
        <v>160</v>
      </c>
      <c r="AT1036" s="19" t="s">
        <v>160</v>
      </c>
      <c r="AZ1036" s="19" t="s">
        <v>160</v>
      </c>
      <c r="BB1036" s="19"/>
      <c r="BC1036" s="19"/>
      <c r="BD1036" s="19"/>
      <c r="BE1036" s="19"/>
    </row>
    <row r="1037" spans="1:57" s="94" customFormat="1" x14ac:dyDescent="0.25">
      <c r="A1037" s="94" t="s">
        <v>2773</v>
      </c>
      <c r="B1037" s="136" t="s">
        <v>3014</v>
      </c>
      <c r="C1037" s="110" t="s">
        <v>962</v>
      </c>
      <c r="D1037" s="176" t="s">
        <v>962</v>
      </c>
      <c r="E1037" s="82">
        <f>63+11/60+25.868/3600</f>
        <v>63.190518888888889</v>
      </c>
      <c r="F1037" s="82">
        <f>19+0/60+44.442/3600</f>
        <v>19.012345</v>
      </c>
      <c r="G1037" s="82"/>
      <c r="H1037" s="94" t="s">
        <v>150</v>
      </c>
      <c r="I1037" s="94" t="s">
        <v>8</v>
      </c>
      <c r="J1037" s="105" t="s">
        <v>8</v>
      </c>
      <c r="K1037" s="94" t="s">
        <v>6</v>
      </c>
      <c r="L1037" s="105" t="s">
        <v>2030</v>
      </c>
      <c r="M1037" s="105" t="s">
        <v>717</v>
      </c>
      <c r="N1037" s="108" t="s">
        <v>2291</v>
      </c>
      <c r="O1037" s="104"/>
      <c r="P1037" s="108" t="s">
        <v>160</v>
      </c>
      <c r="Q1037" s="107" t="s">
        <v>1620</v>
      </c>
      <c r="R1037" s="107" t="s">
        <v>1617</v>
      </c>
      <c r="S1037" s="108" t="s">
        <v>160</v>
      </c>
      <c r="T1037" s="108" t="s">
        <v>160</v>
      </c>
      <c r="U1037" s="108">
        <v>4</v>
      </c>
      <c r="V1037" s="108" t="s">
        <v>160</v>
      </c>
      <c r="W1037" s="108"/>
      <c r="X1037" s="108"/>
      <c r="Y1037" s="108"/>
      <c r="Z1037" s="108"/>
      <c r="AA1037" s="108"/>
      <c r="AB1037" s="108"/>
      <c r="AC1037" s="108"/>
      <c r="AD1037" s="108"/>
      <c r="AE1037" s="108"/>
      <c r="AF1037" s="108"/>
      <c r="AG1037" s="108"/>
      <c r="AH1037" s="108"/>
      <c r="AI1037" s="108"/>
      <c r="AJ1037" s="108"/>
      <c r="AK1037" s="108"/>
      <c r="AL1037" s="108"/>
      <c r="AM1037" s="108"/>
      <c r="AN1037" s="108"/>
      <c r="AO1037" s="108"/>
      <c r="AP1037" s="108"/>
      <c r="AQ1037" s="108"/>
      <c r="AR1037" s="108"/>
      <c r="AS1037" s="108"/>
      <c r="AT1037" s="108"/>
      <c r="AU1037" s="108"/>
      <c r="AV1037" s="108"/>
      <c r="AW1037" s="108"/>
      <c r="AX1037" s="108"/>
      <c r="AY1037" s="108"/>
      <c r="AZ1037" s="108"/>
      <c r="BA1037" s="108"/>
      <c r="BB1037" s="108"/>
      <c r="BC1037" s="108"/>
      <c r="BD1037" s="108"/>
      <c r="BE1037" s="108"/>
    </row>
    <row r="1038" spans="1:57" x14ac:dyDescent="0.25">
      <c r="A1038" s="9" t="s">
        <v>8</v>
      </c>
      <c r="B1038" s="140">
        <v>2321</v>
      </c>
      <c r="C1038" s="23" t="s">
        <v>962</v>
      </c>
      <c r="D1038" t="s">
        <v>962</v>
      </c>
      <c r="E1038" s="193">
        <v>63.1905</v>
      </c>
      <c r="F1038" s="193">
        <v>19.0124</v>
      </c>
      <c r="H1038" s="9" t="s">
        <v>150</v>
      </c>
      <c r="I1038" s="9" t="s">
        <v>8</v>
      </c>
      <c r="J1038" s="7" t="s">
        <v>8</v>
      </c>
      <c r="K1038" s="9" t="s">
        <v>6</v>
      </c>
      <c r="L1038" s="7" t="s">
        <v>2030</v>
      </c>
      <c r="M1038" s="7" t="s">
        <v>717</v>
      </c>
      <c r="N1038" s="19" t="s">
        <v>2291</v>
      </c>
      <c r="O1038" s="22"/>
      <c r="P1038" s="19" t="s">
        <v>160</v>
      </c>
      <c r="Q1038" s="44" t="s">
        <v>1620</v>
      </c>
      <c r="R1038" s="44" t="s">
        <v>1617</v>
      </c>
      <c r="S1038" s="19" t="s">
        <v>160</v>
      </c>
      <c r="T1038" s="19" t="s">
        <v>160</v>
      </c>
      <c r="U1038" s="19">
        <v>4</v>
      </c>
      <c r="V1038" s="19" t="s">
        <v>160</v>
      </c>
      <c r="BB1038" s="19"/>
      <c r="BC1038" s="19"/>
      <c r="BD1038" s="19"/>
      <c r="BE1038" s="19"/>
    </row>
    <row r="1039" spans="1:57" x14ac:dyDescent="0.25">
      <c r="A1039" s="9" t="s">
        <v>707</v>
      </c>
      <c r="B1039" s="39" t="s">
        <v>536</v>
      </c>
      <c r="C1039" s="45" t="s">
        <v>742</v>
      </c>
      <c r="D1039" s="40" t="s">
        <v>537</v>
      </c>
      <c r="E1039" s="46" t="s">
        <v>2224</v>
      </c>
      <c r="F1039" s="46" t="s">
        <v>2223</v>
      </c>
      <c r="G1039" s="40"/>
      <c r="H1039" s="9" t="s">
        <v>150</v>
      </c>
      <c r="I1039" s="41" t="s">
        <v>169</v>
      </c>
      <c r="J1039" s="41" t="s">
        <v>169</v>
      </c>
      <c r="K1039" s="40" t="s">
        <v>5</v>
      </c>
      <c r="L1039" s="41" t="s">
        <v>2043</v>
      </c>
      <c r="M1039" s="7" t="s">
        <v>2653</v>
      </c>
      <c r="V1039" s="42"/>
      <c r="W1039" s="42"/>
      <c r="X1039" s="42"/>
      <c r="Y1039" s="42"/>
      <c r="Z1039" s="42"/>
      <c r="AA1039" s="42"/>
      <c r="AB1039" s="42"/>
      <c r="AC1039" s="42"/>
      <c r="AD1039" s="42"/>
      <c r="AE1039" s="42"/>
      <c r="AF1039" s="42"/>
      <c r="AG1039" s="42"/>
      <c r="AH1039" s="42"/>
      <c r="AI1039" s="42"/>
      <c r="AJ1039" s="42"/>
      <c r="AK1039" s="42"/>
      <c r="AL1039" s="42"/>
      <c r="AM1039" s="42"/>
      <c r="AN1039" s="42"/>
      <c r="AO1039" s="42"/>
      <c r="AP1039" s="42"/>
      <c r="AQ1039" s="42"/>
      <c r="AR1039" s="42" t="s">
        <v>160</v>
      </c>
      <c r="AS1039" s="42" t="s">
        <v>160</v>
      </c>
      <c r="AZ1039" s="42"/>
      <c r="BA1039" s="42"/>
      <c r="BB1039" s="42"/>
      <c r="BC1039" s="42"/>
      <c r="BD1039" s="42"/>
      <c r="BE1039" s="42"/>
    </row>
    <row r="1040" spans="1:57" x14ac:dyDescent="0.25">
      <c r="A1040" s="9" t="s">
        <v>707</v>
      </c>
      <c r="B1040" s="137" t="s">
        <v>538</v>
      </c>
      <c r="C1040" s="23" t="s">
        <v>742</v>
      </c>
      <c r="D1040" s="40" t="s">
        <v>539</v>
      </c>
      <c r="E1040" s="46" t="s">
        <v>541</v>
      </c>
      <c r="F1040" s="46" t="s">
        <v>540</v>
      </c>
      <c r="G1040" s="40"/>
      <c r="H1040" s="9" t="s">
        <v>150</v>
      </c>
      <c r="I1040" s="41" t="s">
        <v>169</v>
      </c>
      <c r="J1040" s="41" t="s">
        <v>169</v>
      </c>
      <c r="K1040" s="40" t="s">
        <v>6</v>
      </c>
      <c r="L1040" s="41" t="s">
        <v>2030</v>
      </c>
      <c r="M1040" s="7" t="s">
        <v>2653</v>
      </c>
      <c r="N1040" s="19" t="s">
        <v>1130</v>
      </c>
      <c r="O1040" s="42" t="s">
        <v>160</v>
      </c>
      <c r="P1040" s="42" t="s">
        <v>160</v>
      </c>
      <c r="Q1040" s="44" t="s">
        <v>1620</v>
      </c>
      <c r="S1040" s="19" t="s">
        <v>160</v>
      </c>
      <c r="T1040" s="19" t="s">
        <v>160</v>
      </c>
      <c r="U1040" s="19">
        <v>1</v>
      </c>
      <c r="V1040" s="42" t="s">
        <v>160</v>
      </c>
      <c r="W1040" s="42" t="s">
        <v>160</v>
      </c>
      <c r="X1040" s="42"/>
      <c r="Y1040" s="42"/>
      <c r="Z1040" s="42"/>
      <c r="AA1040" s="42"/>
      <c r="AB1040" s="42"/>
      <c r="AC1040" s="42"/>
      <c r="AD1040" s="42"/>
      <c r="AE1040" s="42"/>
      <c r="AF1040" s="42"/>
      <c r="AG1040" s="42"/>
      <c r="AH1040" s="42"/>
      <c r="AI1040" s="42"/>
      <c r="AJ1040" s="42"/>
      <c r="AK1040" s="42"/>
      <c r="AL1040" s="42"/>
      <c r="AM1040" s="42"/>
      <c r="AN1040" s="42"/>
      <c r="AO1040" s="42"/>
      <c r="AP1040" s="42"/>
      <c r="AQ1040" s="42"/>
      <c r="AR1040" s="42"/>
      <c r="AS1040" s="42"/>
      <c r="AZ1040" s="42"/>
      <c r="BA1040" s="42"/>
      <c r="BB1040" s="42"/>
      <c r="BC1040" s="42"/>
      <c r="BD1040" s="42"/>
      <c r="BE1040" s="42"/>
    </row>
    <row r="1041" spans="1:57" x14ac:dyDescent="0.25">
      <c r="A1041" s="53" t="s">
        <v>2763</v>
      </c>
      <c r="B1041" s="138">
        <v>35138</v>
      </c>
      <c r="C1041" s="53" t="s">
        <v>742</v>
      </c>
      <c r="D1041" s="53" t="s">
        <v>2757</v>
      </c>
      <c r="E1041" s="3">
        <f>63+11/60+25.868/3600</f>
        <v>63.190518888888889</v>
      </c>
      <c r="F1041" s="3">
        <f>19+0/60+44.442/3600</f>
        <v>19.012345</v>
      </c>
      <c r="G1041" s="53">
        <v>1.68</v>
      </c>
      <c r="H1041" s="9" t="s">
        <v>150</v>
      </c>
      <c r="I1041" s="7" t="s">
        <v>169</v>
      </c>
      <c r="J1041" s="53" t="s">
        <v>169</v>
      </c>
      <c r="K1041" s="7" t="s">
        <v>6</v>
      </c>
      <c r="L1041" s="7" t="s">
        <v>2030</v>
      </c>
      <c r="M1041" s="7" t="s">
        <v>2653</v>
      </c>
      <c r="N1041" s="19" t="s">
        <v>1130</v>
      </c>
      <c r="O1041" s="42" t="s">
        <v>160</v>
      </c>
      <c r="P1041" s="42" t="s">
        <v>160</v>
      </c>
      <c r="Q1041" s="44" t="s">
        <v>1620</v>
      </c>
      <c r="S1041" s="19" t="s">
        <v>160</v>
      </c>
      <c r="T1041" s="19" t="s">
        <v>160</v>
      </c>
      <c r="U1041" s="42">
        <v>1</v>
      </c>
      <c r="V1041" s="20" t="s">
        <v>160</v>
      </c>
      <c r="W1041" s="20" t="s">
        <v>160</v>
      </c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94" customFormat="1" x14ac:dyDescent="0.25">
      <c r="A1042" s="105" t="s">
        <v>2773</v>
      </c>
      <c r="B1042" s="139" t="s">
        <v>2814</v>
      </c>
      <c r="C1042" s="110" t="s">
        <v>742</v>
      </c>
      <c r="D1042" s="153" t="s">
        <v>742</v>
      </c>
      <c r="E1042" s="82">
        <f>63+11/60+25.868/3600</f>
        <v>63.190518888888889</v>
      </c>
      <c r="F1042" s="82">
        <f>19+0/60+44.442/3600</f>
        <v>19.012345</v>
      </c>
      <c r="G1042" s="94">
        <v>1.68</v>
      </c>
      <c r="H1042" s="105" t="s">
        <v>150</v>
      </c>
      <c r="I1042" s="105" t="s">
        <v>169</v>
      </c>
      <c r="J1042" s="105" t="s">
        <v>169</v>
      </c>
      <c r="K1042" s="105" t="s">
        <v>40</v>
      </c>
      <c r="L1042" s="105" t="s">
        <v>2054</v>
      </c>
      <c r="M1042" s="105" t="s">
        <v>2653</v>
      </c>
      <c r="N1042" s="108" t="s">
        <v>1130</v>
      </c>
      <c r="O1042" s="106" t="s">
        <v>160</v>
      </c>
      <c r="P1042" s="106" t="s">
        <v>160</v>
      </c>
      <c r="Q1042" s="107" t="s">
        <v>1620</v>
      </c>
      <c r="R1042" s="108"/>
      <c r="S1042" s="108" t="s">
        <v>160</v>
      </c>
      <c r="T1042" s="108" t="s">
        <v>160</v>
      </c>
      <c r="U1042" s="106">
        <v>1</v>
      </c>
      <c r="V1042" s="103" t="s">
        <v>160</v>
      </c>
      <c r="W1042" s="103" t="s">
        <v>160</v>
      </c>
      <c r="X1042" s="103"/>
      <c r="Y1042" s="103"/>
      <c r="Z1042" s="103"/>
      <c r="AA1042" s="103"/>
      <c r="AB1042" s="103"/>
      <c r="AC1042" s="103"/>
      <c r="AD1042" s="103"/>
      <c r="AE1042" s="103"/>
      <c r="AF1042" s="103"/>
      <c r="AG1042" s="103"/>
      <c r="AH1042" s="103"/>
      <c r="AI1042" s="103"/>
      <c r="AJ1042" s="103"/>
      <c r="AK1042" s="103"/>
      <c r="AL1042" s="103"/>
      <c r="AM1042" s="103"/>
      <c r="AN1042" s="103"/>
      <c r="AO1042" s="103"/>
      <c r="AP1042" s="103"/>
      <c r="AQ1042" s="103"/>
      <c r="AR1042" s="103" t="s">
        <v>160</v>
      </c>
      <c r="AS1042" s="103" t="s">
        <v>160</v>
      </c>
      <c r="AT1042" s="103"/>
      <c r="AU1042" s="103"/>
      <c r="AV1042" s="103"/>
      <c r="AW1042" s="103"/>
      <c r="AX1042" s="103"/>
      <c r="AY1042" s="103"/>
      <c r="AZ1042" s="103"/>
      <c r="BA1042" s="103"/>
      <c r="BB1042" s="103"/>
      <c r="BC1042" s="103"/>
      <c r="BD1042" s="103"/>
      <c r="BE1042" s="103"/>
    </row>
    <row r="1043" spans="1:57" x14ac:dyDescent="0.25">
      <c r="A1043" s="7" t="s">
        <v>8</v>
      </c>
      <c r="B1043" s="142" t="s">
        <v>2946</v>
      </c>
      <c r="C1043" s="23" t="s">
        <v>742</v>
      </c>
      <c r="D1043" s="24" t="s">
        <v>742</v>
      </c>
      <c r="E1043" s="193">
        <v>63.1905</v>
      </c>
      <c r="F1043" s="193">
        <v>19.0123</v>
      </c>
      <c r="G1043" s="43"/>
      <c r="H1043" s="7" t="s">
        <v>150</v>
      </c>
      <c r="I1043" s="7" t="s">
        <v>169</v>
      </c>
      <c r="J1043" s="7" t="s">
        <v>169</v>
      </c>
      <c r="K1043" s="7" t="s">
        <v>40</v>
      </c>
      <c r="L1043" s="7" t="s">
        <v>2054</v>
      </c>
      <c r="M1043" s="7" t="s">
        <v>2653</v>
      </c>
      <c r="N1043" s="19" t="s">
        <v>1130</v>
      </c>
      <c r="O1043" s="42" t="s">
        <v>160</v>
      </c>
      <c r="P1043" s="42" t="s">
        <v>160</v>
      </c>
      <c r="Q1043" s="44" t="s">
        <v>1620</v>
      </c>
      <c r="S1043" s="19" t="s">
        <v>160</v>
      </c>
      <c r="T1043" s="19" t="s">
        <v>160</v>
      </c>
      <c r="U1043" s="42">
        <v>1</v>
      </c>
      <c r="V1043" s="20" t="s">
        <v>160</v>
      </c>
      <c r="W1043" s="20" t="s">
        <v>160</v>
      </c>
      <c r="X1043" s="20"/>
      <c r="Y1043" s="20"/>
      <c r="Z1043" s="20"/>
      <c r="AA1043" s="20"/>
      <c r="AB1043" s="20"/>
      <c r="AC1043" s="20"/>
      <c r="AD1043" s="20"/>
      <c r="AE1043" s="20"/>
      <c r="AF1043" s="20"/>
      <c r="AG1043" s="20"/>
      <c r="AH1043" s="20"/>
      <c r="AI1043" s="20"/>
      <c r="AJ1043" s="20"/>
      <c r="AK1043" s="20"/>
      <c r="AL1043" s="20"/>
      <c r="AM1043" s="20"/>
      <c r="AN1043" s="20"/>
      <c r="AO1043" s="20"/>
      <c r="AP1043" s="20"/>
      <c r="AQ1043" s="20"/>
      <c r="AR1043" s="20" t="s">
        <v>160</v>
      </c>
      <c r="AS1043" s="20" t="s">
        <v>160</v>
      </c>
      <c r="AT1043" s="20"/>
      <c r="AU1043" s="20"/>
      <c r="AV1043" s="20"/>
      <c r="AW1043" s="20"/>
      <c r="AX1043" s="20"/>
      <c r="AY1043" s="20"/>
      <c r="AZ1043" s="20"/>
      <c r="BA1043" s="20"/>
      <c r="BB1043" s="20"/>
      <c r="BC1043" s="20"/>
      <c r="BD1043" s="20"/>
      <c r="BE1043" s="20"/>
    </row>
    <row r="1044" spans="1:57" x14ac:dyDescent="0.25">
      <c r="A1044" s="9" t="s">
        <v>706</v>
      </c>
      <c r="B1044" s="140">
        <v>110</v>
      </c>
      <c r="C1044" s="23" t="s">
        <v>742</v>
      </c>
      <c r="D1044" s="62" t="s">
        <v>100</v>
      </c>
      <c r="E1044" s="35">
        <f>63+11/60+17/3600</f>
        <v>63.18805555555555</v>
      </c>
      <c r="F1044" s="35">
        <f>19+0/60+58/3600</f>
        <v>19.016111111111112</v>
      </c>
      <c r="H1044" s="9" t="s">
        <v>150</v>
      </c>
      <c r="I1044" s="7" t="s">
        <v>169</v>
      </c>
      <c r="J1044" s="7" t="s">
        <v>169</v>
      </c>
      <c r="K1044" s="9" t="s">
        <v>40</v>
      </c>
      <c r="L1044" s="7" t="s">
        <v>2054</v>
      </c>
      <c r="M1044" s="7" t="s">
        <v>2653</v>
      </c>
      <c r="N1044" s="19" t="s">
        <v>1130</v>
      </c>
      <c r="O1044" s="42" t="s">
        <v>160</v>
      </c>
      <c r="P1044" s="42" t="s">
        <v>160</v>
      </c>
      <c r="Q1044" s="44" t="s">
        <v>1620</v>
      </c>
      <c r="S1044" s="19" t="s">
        <v>160</v>
      </c>
      <c r="T1044" s="19" t="s">
        <v>160</v>
      </c>
      <c r="U1044" s="19">
        <v>1</v>
      </c>
      <c r="V1044" s="19" t="s">
        <v>160</v>
      </c>
      <c r="W1044" s="19" t="s">
        <v>160</v>
      </c>
      <c r="AR1044" s="19" t="s">
        <v>160</v>
      </c>
      <c r="AS1044" s="19" t="s">
        <v>160</v>
      </c>
      <c r="BB1044" s="19"/>
      <c r="BC1044" s="19"/>
      <c r="BD1044" s="19"/>
      <c r="BE1044" s="19"/>
    </row>
    <row r="1045" spans="1:57" x14ac:dyDescent="0.25">
      <c r="A1045" s="9" t="s">
        <v>8</v>
      </c>
      <c r="B1045" s="27">
        <v>37124</v>
      </c>
      <c r="C1045" s="28" t="s">
        <v>1972</v>
      </c>
      <c r="D1045" s="28" t="s">
        <v>962</v>
      </c>
      <c r="E1045" s="25">
        <v>63.183300000000003</v>
      </c>
      <c r="F1045" s="25">
        <v>18.966699999999999</v>
      </c>
      <c r="H1045" s="9" t="s">
        <v>150</v>
      </c>
      <c r="I1045" s="9" t="s">
        <v>8</v>
      </c>
      <c r="J1045" s="7" t="s">
        <v>8</v>
      </c>
      <c r="K1045" s="6" t="s">
        <v>2455</v>
      </c>
      <c r="L1045" s="7" t="s">
        <v>2027</v>
      </c>
      <c r="M1045" s="28" t="s">
        <v>717</v>
      </c>
      <c r="N1045" s="19" t="s">
        <v>1811</v>
      </c>
      <c r="O1045" s="22"/>
      <c r="T1045" s="7"/>
      <c r="X1045" s="19" t="s">
        <v>160</v>
      </c>
      <c r="BA1045" s="7"/>
      <c r="BB1045" s="7"/>
      <c r="BC1045" s="7"/>
      <c r="BD1045" s="7"/>
      <c r="BE1045" s="7"/>
    </row>
    <row r="1046" spans="1:57" x14ac:dyDescent="0.25">
      <c r="A1046" s="6" t="s">
        <v>8</v>
      </c>
      <c r="B1046" s="9">
        <v>139110</v>
      </c>
      <c r="C1046" s="9" t="s">
        <v>2271</v>
      </c>
      <c r="D1046" s="9" t="s">
        <v>962</v>
      </c>
      <c r="E1046" s="3">
        <v>63.188499999999998</v>
      </c>
      <c r="F1046" s="3">
        <v>19.019400000000001</v>
      </c>
      <c r="G1046" s="9">
        <v>13</v>
      </c>
      <c r="H1046" s="9" t="s">
        <v>150</v>
      </c>
      <c r="I1046" s="6" t="s">
        <v>8</v>
      </c>
      <c r="J1046" s="21" t="s">
        <v>8</v>
      </c>
      <c r="K1046" s="3" t="s">
        <v>5</v>
      </c>
      <c r="L1046" s="5" t="s">
        <v>2680</v>
      </c>
      <c r="M1046" s="7" t="s">
        <v>717</v>
      </c>
      <c r="N1046" s="19" t="s">
        <v>2529</v>
      </c>
      <c r="O1046" s="22"/>
      <c r="P1046" s="19" t="s">
        <v>160</v>
      </c>
      <c r="AR1046" s="19" t="s">
        <v>160</v>
      </c>
      <c r="AT1046" s="19" t="s">
        <v>160</v>
      </c>
      <c r="AV1046" s="19" t="s">
        <v>160</v>
      </c>
      <c r="AX1046" s="19" t="s">
        <v>160</v>
      </c>
      <c r="AZ1046" s="19" t="s">
        <v>160</v>
      </c>
      <c r="BB1046" s="19"/>
      <c r="BC1046" s="19"/>
      <c r="BD1046" s="19"/>
      <c r="BE1046" s="19"/>
    </row>
    <row r="1047" spans="1:57" s="94" customFormat="1" x14ac:dyDescent="0.25">
      <c r="A1047" s="114" t="s">
        <v>2773</v>
      </c>
      <c r="B1047" s="94" t="s">
        <v>3015</v>
      </c>
      <c r="C1047" s="94" t="s">
        <v>1509</v>
      </c>
      <c r="D1047" s="153" t="s">
        <v>1510</v>
      </c>
      <c r="E1047" s="93">
        <f>63+11/60+13.92/3600</f>
        <v>63.187199999999997</v>
      </c>
      <c r="F1047" s="83">
        <f>19+1/60+11.64/3600</f>
        <v>19.0199</v>
      </c>
      <c r="G1047" s="94">
        <v>9.343</v>
      </c>
      <c r="H1047" s="94" t="s">
        <v>150</v>
      </c>
      <c r="I1047" s="122" t="s">
        <v>8</v>
      </c>
      <c r="J1047" s="122" t="s">
        <v>8</v>
      </c>
      <c r="K1047" s="82" t="s">
        <v>5</v>
      </c>
      <c r="L1047" s="93" t="s">
        <v>2681</v>
      </c>
      <c r="M1047" s="105" t="s">
        <v>2653</v>
      </c>
      <c r="N1047" s="108" t="s">
        <v>2303</v>
      </c>
      <c r="O1047" s="104"/>
      <c r="P1047" s="108" t="s">
        <v>160</v>
      </c>
      <c r="Q1047" s="108"/>
      <c r="R1047" s="108"/>
      <c r="S1047" s="108"/>
      <c r="T1047" s="108"/>
      <c r="U1047" s="108"/>
      <c r="V1047" s="108"/>
      <c r="W1047" s="108"/>
      <c r="X1047" s="108"/>
      <c r="Y1047" s="108"/>
      <c r="Z1047" s="108"/>
      <c r="AA1047" s="108"/>
      <c r="AB1047" s="108"/>
      <c r="AC1047" s="108"/>
      <c r="AD1047" s="108"/>
      <c r="AE1047" s="108"/>
      <c r="AF1047" s="108"/>
      <c r="AG1047" s="108"/>
      <c r="AH1047" s="108"/>
      <c r="AI1047" s="108"/>
      <c r="AJ1047" s="108"/>
      <c r="AK1047" s="108"/>
      <c r="AL1047" s="108"/>
      <c r="AM1047" s="108"/>
      <c r="AN1047" s="108"/>
      <c r="AO1047" s="108"/>
      <c r="AP1047" s="108"/>
      <c r="AQ1047" s="108"/>
      <c r="AR1047" s="108" t="s">
        <v>160</v>
      </c>
      <c r="AS1047" s="108" t="s">
        <v>160</v>
      </c>
      <c r="AT1047" s="108" t="s">
        <v>160</v>
      </c>
      <c r="AU1047" s="108" t="s">
        <v>160</v>
      </c>
      <c r="AV1047" s="108"/>
      <c r="AW1047" s="108"/>
      <c r="AX1047" s="108" t="s">
        <v>160</v>
      </c>
      <c r="AY1047" s="108" t="s">
        <v>160</v>
      </c>
      <c r="AZ1047" s="108" t="s">
        <v>160</v>
      </c>
      <c r="BA1047" s="108" t="s">
        <v>160</v>
      </c>
      <c r="BB1047" s="108"/>
      <c r="BC1047" s="108"/>
      <c r="BD1047" s="108"/>
      <c r="BE1047" s="108"/>
    </row>
    <row r="1048" spans="1:57" x14ac:dyDescent="0.25">
      <c r="A1048" s="6" t="s">
        <v>8</v>
      </c>
      <c r="B1048" s="9">
        <v>139120</v>
      </c>
      <c r="C1048" s="9" t="s">
        <v>1509</v>
      </c>
      <c r="D1048" s="9" t="s">
        <v>1510</v>
      </c>
      <c r="E1048" s="3">
        <v>63.187199999999997</v>
      </c>
      <c r="F1048" s="3">
        <v>19.0199</v>
      </c>
      <c r="G1048" s="9">
        <v>9.343</v>
      </c>
      <c r="H1048" s="9" t="s">
        <v>150</v>
      </c>
      <c r="I1048" s="21" t="s">
        <v>8</v>
      </c>
      <c r="J1048" s="21" t="s">
        <v>8</v>
      </c>
      <c r="K1048" s="3" t="s">
        <v>5</v>
      </c>
      <c r="L1048" s="5" t="s">
        <v>2681</v>
      </c>
      <c r="M1048" s="7" t="s">
        <v>2653</v>
      </c>
      <c r="N1048" s="19" t="s">
        <v>2303</v>
      </c>
      <c r="O1048" s="22"/>
      <c r="P1048" s="19" t="s">
        <v>160</v>
      </c>
      <c r="AR1048" s="19" t="s">
        <v>160</v>
      </c>
      <c r="AS1048" s="19" t="s">
        <v>160</v>
      </c>
      <c r="AT1048" s="19" t="s">
        <v>160</v>
      </c>
      <c r="AU1048" s="19" t="s">
        <v>160</v>
      </c>
      <c r="AX1048" s="19" t="s">
        <v>160</v>
      </c>
      <c r="AY1048" s="19" t="s">
        <v>160</v>
      </c>
      <c r="AZ1048" s="19" t="s">
        <v>160</v>
      </c>
      <c r="BA1048" s="19" t="s">
        <v>160</v>
      </c>
      <c r="BB1048" s="19"/>
      <c r="BC1048" s="19"/>
      <c r="BD1048" s="19"/>
      <c r="BE1048" s="19"/>
    </row>
    <row r="1049" spans="1:57" x14ac:dyDescent="0.25">
      <c r="A1049" s="6" t="s">
        <v>706</v>
      </c>
      <c r="B1049" s="9">
        <v>110</v>
      </c>
      <c r="C1049" s="9" t="s">
        <v>1509</v>
      </c>
      <c r="D1049" s="9" t="s">
        <v>1510</v>
      </c>
      <c r="E1049" s="3">
        <f>63+11/60+17/3600</f>
        <v>63.18805555555555</v>
      </c>
      <c r="F1049" s="3">
        <f>19+0/60+58/3600</f>
        <v>19.016111111111112</v>
      </c>
      <c r="G1049" s="9"/>
      <c r="H1049" s="9" t="s">
        <v>150</v>
      </c>
      <c r="I1049" s="21" t="s">
        <v>8</v>
      </c>
      <c r="J1049" s="21" t="s">
        <v>8</v>
      </c>
      <c r="K1049" s="3" t="s">
        <v>5</v>
      </c>
      <c r="L1049" s="5" t="s">
        <v>2681</v>
      </c>
      <c r="M1049" s="7" t="s">
        <v>2653</v>
      </c>
      <c r="N1049" s="19" t="s">
        <v>2303</v>
      </c>
      <c r="O1049" s="22"/>
      <c r="P1049" s="19" t="s">
        <v>160</v>
      </c>
      <c r="AR1049" s="19" t="s">
        <v>160</v>
      </c>
      <c r="AS1049" s="19" t="s">
        <v>160</v>
      </c>
      <c r="AT1049" s="19" t="s">
        <v>160</v>
      </c>
      <c r="AU1049" s="19" t="s">
        <v>160</v>
      </c>
      <c r="AX1049" s="19" t="s">
        <v>160</v>
      </c>
      <c r="AY1049" s="19" t="s">
        <v>160</v>
      </c>
      <c r="AZ1049" s="19" t="s">
        <v>160</v>
      </c>
      <c r="BA1049" s="19" t="s">
        <v>160</v>
      </c>
      <c r="BB1049" s="19"/>
      <c r="BC1049" s="19"/>
      <c r="BD1049" s="19"/>
      <c r="BE1049" s="19"/>
    </row>
    <row r="1050" spans="1:57" s="105" customFormat="1" x14ac:dyDescent="0.25">
      <c r="A1050" s="9" t="s">
        <v>707</v>
      </c>
      <c r="B1050" s="39" t="s">
        <v>542</v>
      </c>
      <c r="C1050" s="39" t="s">
        <v>920</v>
      </c>
      <c r="D1050" s="40" t="s">
        <v>543</v>
      </c>
      <c r="E1050" s="46" t="s">
        <v>2153</v>
      </c>
      <c r="F1050" s="46" t="s">
        <v>2154</v>
      </c>
      <c r="G1050" s="40"/>
      <c r="H1050" s="9" t="s">
        <v>150</v>
      </c>
      <c r="I1050" s="41" t="s">
        <v>169</v>
      </c>
      <c r="J1050" s="41" t="s">
        <v>169</v>
      </c>
      <c r="K1050" s="40" t="s">
        <v>5</v>
      </c>
      <c r="L1050" s="41" t="s">
        <v>2043</v>
      </c>
      <c r="M1050" s="7" t="s">
        <v>2653</v>
      </c>
      <c r="N1050" s="19"/>
      <c r="O1050" s="19"/>
      <c r="P1050" s="19"/>
      <c r="Q1050" s="19"/>
      <c r="R1050" s="19"/>
      <c r="S1050" s="19"/>
      <c r="T1050" s="19"/>
      <c r="U1050" s="19"/>
      <c r="V1050" s="42"/>
      <c r="W1050" s="42"/>
      <c r="X1050" s="42"/>
      <c r="Y1050" s="42"/>
      <c r="Z1050" s="42"/>
      <c r="AA1050" s="42"/>
      <c r="AB1050" s="42"/>
      <c r="AC1050" s="42"/>
      <c r="AD1050" s="42"/>
      <c r="AE1050" s="42"/>
      <c r="AF1050" s="42"/>
      <c r="AG1050" s="42"/>
      <c r="AH1050" s="42"/>
      <c r="AI1050" s="42"/>
      <c r="AJ1050" s="42"/>
      <c r="AK1050" s="42"/>
      <c r="AL1050" s="42"/>
      <c r="AM1050" s="42"/>
      <c r="AN1050" s="42"/>
      <c r="AO1050" s="42"/>
      <c r="AP1050" s="42"/>
      <c r="AQ1050" s="42"/>
      <c r="AR1050" s="42" t="s">
        <v>160</v>
      </c>
      <c r="AS1050" s="42" t="s">
        <v>160</v>
      </c>
      <c r="AT1050" s="19"/>
      <c r="AU1050" s="19"/>
      <c r="AV1050" s="19"/>
      <c r="AW1050" s="19"/>
      <c r="AX1050" s="19"/>
      <c r="AY1050" s="19"/>
      <c r="AZ1050" s="42"/>
      <c r="BA1050" s="42"/>
      <c r="BB1050" s="42"/>
      <c r="BC1050" s="42"/>
      <c r="BD1050" s="42"/>
      <c r="BE1050" s="42"/>
    </row>
    <row r="1051" spans="1:57" s="7" customFormat="1" x14ac:dyDescent="0.25">
      <c r="A1051" s="21" t="s">
        <v>8</v>
      </c>
      <c r="B1051" s="7" t="s">
        <v>3017</v>
      </c>
      <c r="C1051" s="7" t="s">
        <v>920</v>
      </c>
      <c r="D1051" t="s">
        <v>101</v>
      </c>
      <c r="E1051" s="35">
        <f>57+53/60+26/3600</f>
        <v>57.890555555555558</v>
      </c>
      <c r="F1051" s="35">
        <f>11+33/60+30/3600</f>
        <v>11.558333333333334</v>
      </c>
      <c r="H1051" s="7" t="s">
        <v>150</v>
      </c>
      <c r="I1051" s="21" t="s">
        <v>169</v>
      </c>
      <c r="J1051" s="21" t="s">
        <v>169</v>
      </c>
      <c r="K1051" s="5" t="s">
        <v>5</v>
      </c>
      <c r="L1051" s="5" t="s">
        <v>2043</v>
      </c>
      <c r="M1051" s="7" t="s">
        <v>2653</v>
      </c>
      <c r="N1051" s="19"/>
      <c r="O1051" s="22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19"/>
      <c r="AB1051" s="19"/>
      <c r="AC1051" s="19"/>
      <c r="AD1051" s="19"/>
      <c r="AE1051" s="19"/>
      <c r="AF1051" s="19"/>
      <c r="AG1051" s="19"/>
      <c r="AH1051" s="19"/>
      <c r="AI1051" s="19"/>
      <c r="AJ1051" s="19"/>
      <c r="AK1051" s="19"/>
      <c r="AL1051" s="19"/>
      <c r="AM1051" s="19"/>
      <c r="AN1051" s="19"/>
      <c r="AO1051" s="19"/>
      <c r="AP1051" s="19"/>
      <c r="AQ1051" s="19"/>
      <c r="AR1051" s="19" t="s">
        <v>160</v>
      </c>
      <c r="AS1051" s="19" t="s">
        <v>160</v>
      </c>
      <c r="AT1051" s="19"/>
      <c r="AU1051" s="19"/>
      <c r="AV1051" s="19"/>
      <c r="AW1051" s="19"/>
      <c r="AX1051" s="19"/>
      <c r="AY1051" s="19"/>
      <c r="AZ1051" s="19"/>
      <c r="BA1051" s="19"/>
      <c r="BB1051" s="19"/>
      <c r="BC1051" s="19"/>
      <c r="BD1051" s="19"/>
      <c r="BE1051" s="19"/>
    </row>
    <row r="1052" spans="1:57" x14ac:dyDescent="0.25">
      <c r="A1052" s="21" t="s">
        <v>8</v>
      </c>
      <c r="B1052" s="33" t="s">
        <v>875</v>
      </c>
      <c r="C1052" s="7" t="s">
        <v>920</v>
      </c>
      <c r="D1052" s="7" t="s">
        <v>920</v>
      </c>
      <c r="E1052" s="35">
        <f>57+53/60+26/3600</f>
        <v>57.890555555555558</v>
      </c>
      <c r="F1052" s="35">
        <f>11+33/60+30/3600</f>
        <v>11.558333333333334</v>
      </c>
      <c r="G1052" s="7"/>
      <c r="H1052" s="7" t="s">
        <v>150</v>
      </c>
      <c r="I1052" s="21" t="s">
        <v>169</v>
      </c>
      <c r="J1052" s="21" t="s">
        <v>169</v>
      </c>
      <c r="K1052" s="5" t="s">
        <v>5</v>
      </c>
      <c r="L1052" s="5" t="s">
        <v>2043</v>
      </c>
      <c r="M1052" s="7" t="s">
        <v>2653</v>
      </c>
      <c r="O1052" s="22"/>
      <c r="AR1052" s="19" t="s">
        <v>160</v>
      </c>
      <c r="AS1052" s="19" t="s">
        <v>160</v>
      </c>
      <c r="BB1052" s="19"/>
      <c r="BC1052" s="19"/>
      <c r="BD1052" s="19"/>
      <c r="BE1052" s="19"/>
    </row>
    <row r="1053" spans="1:57" x14ac:dyDescent="0.25">
      <c r="A1053" s="9" t="s">
        <v>706</v>
      </c>
      <c r="B1053" s="38">
        <v>182</v>
      </c>
      <c r="C1053" s="38" t="s">
        <v>920</v>
      </c>
      <c r="D1053" s="62" t="s">
        <v>101</v>
      </c>
      <c r="E1053" s="3">
        <f>57+53/60+26/3600</f>
        <v>57.890555555555558</v>
      </c>
      <c r="F1053" s="3">
        <f>11+33/60+30/3600</f>
        <v>11.558333333333334</v>
      </c>
      <c r="G1053" s="40"/>
      <c r="H1053" s="9" t="s">
        <v>150</v>
      </c>
      <c r="I1053" s="7" t="s">
        <v>169</v>
      </c>
      <c r="J1053" s="7" t="s">
        <v>169</v>
      </c>
      <c r="K1053" s="9" t="s">
        <v>5</v>
      </c>
      <c r="L1053" s="7" t="s">
        <v>2043</v>
      </c>
      <c r="M1053" s="7" t="s">
        <v>2653</v>
      </c>
      <c r="AR1053" s="19" t="s">
        <v>160</v>
      </c>
      <c r="AS1053" s="19" t="s">
        <v>160</v>
      </c>
      <c r="BB1053" s="19"/>
      <c r="BC1053" s="19"/>
      <c r="BD1053" s="19"/>
      <c r="BE1053" s="19"/>
    </row>
    <row r="1054" spans="1:57" x14ac:dyDescent="0.25">
      <c r="A1054" s="9" t="s">
        <v>707</v>
      </c>
      <c r="B1054" s="137" t="s">
        <v>544</v>
      </c>
      <c r="C1054" s="23" t="s">
        <v>871</v>
      </c>
      <c r="D1054" s="40" t="s">
        <v>545</v>
      </c>
      <c r="E1054" s="46" t="s">
        <v>547</v>
      </c>
      <c r="F1054" s="46" t="s">
        <v>546</v>
      </c>
      <c r="G1054" s="40"/>
      <c r="H1054" s="9" t="s">
        <v>150</v>
      </c>
      <c r="I1054" s="41" t="s">
        <v>8</v>
      </c>
      <c r="J1054" s="41" t="s">
        <v>8</v>
      </c>
      <c r="K1054" s="40" t="s">
        <v>6</v>
      </c>
      <c r="L1054" s="41" t="s">
        <v>2030</v>
      </c>
      <c r="M1054" s="7" t="s">
        <v>2653</v>
      </c>
      <c r="N1054" s="42" t="s">
        <v>1129</v>
      </c>
      <c r="O1054" s="22"/>
      <c r="P1054" s="42" t="s">
        <v>160</v>
      </c>
      <c r="Q1054" s="44" t="s">
        <v>1621</v>
      </c>
      <c r="R1054" s="44" t="s">
        <v>1619</v>
      </c>
      <c r="S1054" s="19" t="s">
        <v>160</v>
      </c>
      <c r="T1054" s="19" t="s">
        <v>160</v>
      </c>
      <c r="U1054" s="19">
        <v>1</v>
      </c>
      <c r="V1054" s="42" t="s">
        <v>160</v>
      </c>
      <c r="W1054" s="42" t="s">
        <v>160</v>
      </c>
      <c r="X1054" s="42"/>
      <c r="Y1054" s="42"/>
      <c r="Z1054" s="42"/>
      <c r="AA1054" s="42"/>
      <c r="AB1054" s="42"/>
      <c r="AC1054" s="42"/>
      <c r="AD1054" s="42"/>
      <c r="AE1054" s="42"/>
      <c r="AF1054" s="42"/>
      <c r="AG1054" s="42"/>
      <c r="AH1054" s="42"/>
      <c r="AI1054" s="42"/>
      <c r="AJ1054" s="42"/>
      <c r="AK1054" s="42"/>
      <c r="AL1054" s="42"/>
      <c r="AM1054" s="42"/>
      <c r="AN1054" s="42"/>
      <c r="AO1054" s="42"/>
      <c r="AP1054" s="42"/>
      <c r="AQ1054" s="42"/>
      <c r="AR1054" s="42"/>
      <c r="AS1054" s="42"/>
      <c r="AZ1054" s="42"/>
      <c r="BA1054" s="42"/>
      <c r="BB1054" s="42"/>
      <c r="BC1054" s="42"/>
      <c r="BD1054" s="42"/>
      <c r="BE1054" s="42"/>
    </row>
    <row r="1055" spans="1:57" x14ac:dyDescent="0.25">
      <c r="A1055" s="53" t="s">
        <v>2763</v>
      </c>
      <c r="B1055" s="143">
        <v>30488</v>
      </c>
      <c r="C1055" s="85" t="s">
        <v>871</v>
      </c>
      <c r="D1055" s="85" t="s">
        <v>766</v>
      </c>
      <c r="E1055" s="35">
        <v>55.416666999999997</v>
      </c>
      <c r="F1055" s="35">
        <v>12.829444000000001</v>
      </c>
      <c r="G1055" s="85"/>
      <c r="H1055" s="9" t="s">
        <v>150</v>
      </c>
      <c r="I1055" s="14" t="s">
        <v>8</v>
      </c>
      <c r="J1055" s="85" t="s">
        <v>8</v>
      </c>
      <c r="K1055" s="7" t="s">
        <v>6</v>
      </c>
      <c r="L1055" s="7" t="s">
        <v>2030</v>
      </c>
      <c r="M1055" s="7" t="s">
        <v>2653</v>
      </c>
      <c r="N1055" s="42" t="s">
        <v>1129</v>
      </c>
      <c r="O1055" s="22"/>
      <c r="P1055" s="42" t="s">
        <v>160</v>
      </c>
      <c r="Q1055" s="44" t="s">
        <v>1621</v>
      </c>
      <c r="R1055" s="44" t="s">
        <v>1619</v>
      </c>
      <c r="S1055" s="19" t="s">
        <v>160</v>
      </c>
      <c r="T1055" s="19" t="s">
        <v>160</v>
      </c>
      <c r="U1055" s="42">
        <v>1</v>
      </c>
      <c r="V1055" s="20" t="s">
        <v>160</v>
      </c>
      <c r="W1055" s="20" t="s">
        <v>160</v>
      </c>
      <c r="X1055" s="85"/>
      <c r="Y1055" s="85"/>
      <c r="Z1055" s="85"/>
      <c r="AA1055" s="85"/>
      <c r="AB1055" s="85"/>
      <c r="AC1055" s="85"/>
      <c r="AD1055" s="85"/>
      <c r="AE1055" s="85"/>
      <c r="AF1055" s="85"/>
      <c r="AG1055" s="85"/>
      <c r="AH1055" s="85"/>
      <c r="AI1055" s="85"/>
      <c r="AJ1055" s="85"/>
      <c r="AK1055" s="85"/>
      <c r="AL1055" s="85"/>
      <c r="AM1055" s="85"/>
      <c r="AN1055" s="85"/>
      <c r="AO1055" s="85"/>
      <c r="AP1055" s="85"/>
      <c r="AQ1055" s="85"/>
      <c r="AR1055" s="85"/>
      <c r="AS1055" s="85"/>
      <c r="AT1055" s="85"/>
      <c r="AU1055" s="85"/>
      <c r="AV1055" s="85"/>
      <c r="AW1055" s="85"/>
      <c r="AX1055" s="85"/>
      <c r="AY1055" s="85"/>
      <c r="AZ1055" s="85"/>
      <c r="BA1055" s="85"/>
      <c r="BB1055" s="85"/>
      <c r="BC1055" s="85"/>
      <c r="BD1055" s="85"/>
      <c r="BE1055" s="85"/>
    </row>
    <row r="1056" spans="1:57" s="94" customFormat="1" x14ac:dyDescent="0.25">
      <c r="A1056" s="105" t="s">
        <v>2773</v>
      </c>
      <c r="B1056" s="139" t="s">
        <v>2947</v>
      </c>
      <c r="C1056" s="110" t="s">
        <v>871</v>
      </c>
      <c r="D1056" s="153" t="s">
        <v>766</v>
      </c>
      <c r="E1056" s="93">
        <f>55+25/60+0.44/3600</f>
        <v>55.416788888888888</v>
      </c>
      <c r="F1056" s="93">
        <f>12+49/60+46.68/3600</f>
        <v>12.829633333333334</v>
      </c>
      <c r="G1056" s="81"/>
      <c r="H1056" s="105" t="s">
        <v>150</v>
      </c>
      <c r="I1056" s="105" t="s">
        <v>8</v>
      </c>
      <c r="J1056" s="105" t="s">
        <v>8</v>
      </c>
      <c r="K1056" s="105" t="s">
        <v>6</v>
      </c>
      <c r="L1056" s="105" t="s">
        <v>2030</v>
      </c>
      <c r="M1056" s="105" t="s">
        <v>2653</v>
      </c>
      <c r="N1056" s="106" t="s">
        <v>1129</v>
      </c>
      <c r="O1056" s="104"/>
      <c r="P1056" s="106" t="s">
        <v>160</v>
      </c>
      <c r="Q1056" s="107" t="s">
        <v>1621</v>
      </c>
      <c r="R1056" s="107" t="s">
        <v>1619</v>
      </c>
      <c r="S1056" s="108" t="s">
        <v>160</v>
      </c>
      <c r="T1056" s="108" t="s">
        <v>160</v>
      </c>
      <c r="U1056" s="106">
        <v>1</v>
      </c>
      <c r="V1056" s="103" t="s">
        <v>160</v>
      </c>
      <c r="W1056" s="103" t="s">
        <v>160</v>
      </c>
      <c r="X1056" s="103"/>
      <c r="Y1056" s="103"/>
      <c r="Z1056" s="103"/>
      <c r="AA1056" s="103"/>
      <c r="AB1056" s="103"/>
      <c r="AC1056" s="103"/>
      <c r="AD1056" s="103"/>
      <c r="AE1056" s="103"/>
      <c r="AF1056" s="103"/>
      <c r="AG1056" s="103"/>
      <c r="AH1056" s="103"/>
      <c r="AI1056" s="103"/>
      <c r="AJ1056" s="103"/>
      <c r="AK1056" s="103"/>
      <c r="AL1056" s="103"/>
      <c r="AM1056" s="103"/>
      <c r="AN1056" s="103"/>
      <c r="AO1056" s="103"/>
      <c r="AP1056" s="103"/>
      <c r="AQ1056" s="103"/>
      <c r="AR1056" s="103"/>
      <c r="AS1056" s="103"/>
      <c r="AT1056" s="103"/>
      <c r="AU1056" s="103"/>
      <c r="AV1056" s="103"/>
      <c r="AW1056" s="103"/>
      <c r="AX1056" s="103"/>
      <c r="AY1056" s="103"/>
      <c r="AZ1056" s="103"/>
      <c r="BA1056" s="103"/>
      <c r="BB1056" s="103"/>
      <c r="BC1056" s="103"/>
      <c r="BD1056" s="103"/>
      <c r="BE1056" s="103"/>
    </row>
    <row r="1057" spans="1:57" x14ac:dyDescent="0.25">
      <c r="A1057" s="7" t="s">
        <v>8</v>
      </c>
      <c r="B1057" s="142" t="s">
        <v>2948</v>
      </c>
      <c r="C1057" s="23" t="s">
        <v>871</v>
      </c>
      <c r="D1057" t="s">
        <v>766</v>
      </c>
      <c r="E1057" s="193">
        <v>55.416800000000002</v>
      </c>
      <c r="F1057" s="193">
        <v>12.829599999999999</v>
      </c>
      <c r="G1057" s="43"/>
      <c r="H1057" s="7" t="s">
        <v>150</v>
      </c>
      <c r="I1057" s="7" t="s">
        <v>8</v>
      </c>
      <c r="J1057" s="7" t="s">
        <v>8</v>
      </c>
      <c r="K1057" s="7" t="s">
        <v>6</v>
      </c>
      <c r="L1057" s="7" t="s">
        <v>2030</v>
      </c>
      <c r="M1057" s="7" t="s">
        <v>2653</v>
      </c>
      <c r="N1057" s="42" t="s">
        <v>1129</v>
      </c>
      <c r="O1057" s="22"/>
      <c r="P1057" s="42" t="s">
        <v>160</v>
      </c>
      <c r="Q1057" s="44" t="s">
        <v>1621</v>
      </c>
      <c r="R1057" s="44" t="s">
        <v>1619</v>
      </c>
      <c r="S1057" s="19" t="s">
        <v>160</v>
      </c>
      <c r="T1057" s="19" t="s">
        <v>160</v>
      </c>
      <c r="U1057" s="42">
        <v>1</v>
      </c>
      <c r="V1057" s="20" t="s">
        <v>160</v>
      </c>
      <c r="W1057" s="20" t="s">
        <v>160</v>
      </c>
      <c r="X1057" s="20"/>
      <c r="Y1057" s="20"/>
      <c r="Z1057" s="20"/>
      <c r="AA1057" s="20"/>
      <c r="AB1057" s="20"/>
      <c r="AC1057" s="20"/>
      <c r="AD1057" s="20"/>
      <c r="AE1057" s="20"/>
      <c r="AF1057" s="20"/>
      <c r="AG1057" s="20"/>
      <c r="AH1057" s="20"/>
      <c r="AI1057" s="20"/>
      <c r="AJ1057" s="20"/>
      <c r="AK1057" s="20"/>
      <c r="AL1057" s="20"/>
      <c r="AM1057" s="20"/>
      <c r="AN1057" s="20"/>
      <c r="AO1057" s="20"/>
      <c r="AP1057" s="20"/>
      <c r="AQ1057" s="20"/>
      <c r="AR1057" s="20"/>
      <c r="AS1057" s="20"/>
      <c r="AT1057" s="20"/>
      <c r="AU1057" s="20"/>
      <c r="AV1057" s="20"/>
      <c r="AW1057" s="20"/>
      <c r="AX1057" s="20"/>
      <c r="AY1057" s="20"/>
      <c r="AZ1057" s="20"/>
      <c r="BA1057" s="20"/>
      <c r="BB1057" s="20"/>
      <c r="BC1057" s="20"/>
      <c r="BD1057" s="20"/>
      <c r="BE1057" s="20"/>
    </row>
    <row r="1058" spans="1:57" x14ac:dyDescent="0.25">
      <c r="A1058" s="9" t="s">
        <v>706</v>
      </c>
      <c r="B1058" s="140">
        <v>162</v>
      </c>
      <c r="C1058" s="23" t="s">
        <v>871</v>
      </c>
      <c r="D1058" s="62" t="s">
        <v>102</v>
      </c>
      <c r="E1058" s="35">
        <f>55+25/60+0/3600</f>
        <v>55.416666666666664</v>
      </c>
      <c r="F1058" s="35">
        <f>12+49/60+46/3600</f>
        <v>12.829444444444444</v>
      </c>
      <c r="G1058" s="43"/>
      <c r="H1058" s="9" t="s">
        <v>150</v>
      </c>
      <c r="I1058" s="7" t="s">
        <v>8</v>
      </c>
      <c r="J1058" s="7" t="s">
        <v>8</v>
      </c>
      <c r="K1058" s="9" t="s">
        <v>6</v>
      </c>
      <c r="L1058" s="7" t="s">
        <v>2030</v>
      </c>
      <c r="M1058" s="7" t="s">
        <v>2653</v>
      </c>
      <c r="N1058" s="42" t="s">
        <v>1129</v>
      </c>
      <c r="O1058" s="22"/>
      <c r="P1058" s="42" t="s">
        <v>160</v>
      </c>
      <c r="Q1058" s="44" t="s">
        <v>1621</v>
      </c>
      <c r="R1058" s="44" t="s">
        <v>1619</v>
      </c>
      <c r="S1058" s="19" t="s">
        <v>160</v>
      </c>
      <c r="T1058" s="19" t="s">
        <v>160</v>
      </c>
      <c r="U1058" s="19">
        <v>1</v>
      </c>
      <c r="V1058" s="19" t="s">
        <v>160</v>
      </c>
      <c r="W1058" s="19" t="s">
        <v>160</v>
      </c>
      <c r="BB1058" s="19"/>
      <c r="BC1058" s="19"/>
      <c r="BD1058" s="19"/>
      <c r="BE1058" s="19"/>
    </row>
    <row r="1059" spans="1:57" s="94" customFormat="1" x14ac:dyDescent="0.25">
      <c r="A1059" s="32" t="s">
        <v>707</v>
      </c>
      <c r="B1059" s="33"/>
      <c r="C1059" s="33" t="s">
        <v>1511</v>
      </c>
      <c r="D1059" s="33" t="s">
        <v>2712</v>
      </c>
      <c r="E1059" s="35"/>
      <c r="F1059" s="35"/>
      <c r="G1059" s="33"/>
      <c r="H1059" s="33" t="s">
        <v>150</v>
      </c>
      <c r="I1059" s="21" t="s">
        <v>8</v>
      </c>
      <c r="J1059" s="32" t="s">
        <v>8</v>
      </c>
      <c r="K1059" s="35" t="s">
        <v>5</v>
      </c>
      <c r="L1059" s="35" t="s">
        <v>2043</v>
      </c>
      <c r="M1059" s="33" t="s">
        <v>2653</v>
      </c>
      <c r="N1059" s="37" t="s">
        <v>1107</v>
      </c>
      <c r="O1059" s="67"/>
      <c r="P1059" s="37"/>
      <c r="Q1059" s="37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F1059" s="37"/>
      <c r="AG1059" s="37"/>
      <c r="AH1059" s="37"/>
      <c r="AI1059" s="37"/>
      <c r="AJ1059" s="37"/>
      <c r="AK1059" s="37"/>
      <c r="AL1059" s="37"/>
      <c r="AM1059" s="37"/>
      <c r="AN1059" s="37"/>
      <c r="AO1059" s="37"/>
      <c r="AP1059" s="37"/>
      <c r="AQ1059" s="37"/>
      <c r="AR1059" s="37"/>
      <c r="AS1059" s="37"/>
      <c r="AT1059" s="37"/>
      <c r="AU1059" s="37"/>
      <c r="AV1059" s="37"/>
      <c r="AW1059" s="37"/>
      <c r="AX1059" s="37"/>
      <c r="AY1059" s="37"/>
      <c r="AZ1059" s="37"/>
      <c r="BA1059" s="37"/>
      <c r="BB1059" s="37"/>
      <c r="BC1059" s="37"/>
      <c r="BD1059" s="37"/>
      <c r="BE1059" s="37"/>
    </row>
    <row r="1060" spans="1:57" x14ac:dyDescent="0.25">
      <c r="A1060" s="114" t="s">
        <v>2773</v>
      </c>
      <c r="B1060" s="94" t="s">
        <v>3018</v>
      </c>
      <c r="C1060" s="94" t="s">
        <v>1511</v>
      </c>
      <c r="D1060" s="153" t="s">
        <v>1512</v>
      </c>
      <c r="E1060" s="93">
        <f>59+20/60+40.56/3600</f>
        <v>59.3446</v>
      </c>
      <c r="F1060" s="93">
        <f>18+44/60+25.44/3600</f>
        <v>18.740400000000001</v>
      </c>
      <c r="G1060" s="94">
        <v>19.286999999999999</v>
      </c>
      <c r="H1060" s="94" t="s">
        <v>150</v>
      </c>
      <c r="I1060" s="122" t="s">
        <v>8</v>
      </c>
      <c r="J1060" s="122" t="s">
        <v>8</v>
      </c>
      <c r="K1060" s="82" t="s">
        <v>5</v>
      </c>
      <c r="L1060" s="93" t="s">
        <v>2693</v>
      </c>
      <c r="M1060" s="105" t="s">
        <v>2653</v>
      </c>
      <c r="N1060" s="108" t="s">
        <v>1107</v>
      </c>
      <c r="O1060" s="104"/>
      <c r="P1060" s="108" t="s">
        <v>160</v>
      </c>
      <c r="Q1060" s="108"/>
      <c r="R1060" s="108"/>
      <c r="S1060" s="108"/>
      <c r="T1060" s="108"/>
      <c r="U1060" s="108"/>
      <c r="V1060" s="108"/>
      <c r="W1060" s="108"/>
      <c r="X1060" s="108"/>
      <c r="Y1060" s="108"/>
      <c r="Z1060" s="108"/>
      <c r="AA1060" s="108"/>
      <c r="AB1060" s="108"/>
      <c r="AC1060" s="108"/>
      <c r="AD1060" s="108"/>
      <c r="AE1060" s="108"/>
      <c r="AF1060" s="108"/>
      <c r="AG1060" s="108"/>
      <c r="AH1060" s="108"/>
      <c r="AI1060" s="108"/>
      <c r="AJ1060" s="108"/>
      <c r="AK1060" s="108"/>
      <c r="AL1060" s="108"/>
      <c r="AM1060" s="108"/>
      <c r="AN1060" s="108"/>
      <c r="AO1060" s="108"/>
      <c r="AP1060" s="108"/>
      <c r="AQ1060" s="108"/>
      <c r="AR1060" s="108" t="s">
        <v>160</v>
      </c>
      <c r="AS1060" s="108" t="s">
        <v>160</v>
      </c>
      <c r="AT1060" s="108" t="s">
        <v>160</v>
      </c>
      <c r="AU1060" s="108" t="s">
        <v>160</v>
      </c>
      <c r="AV1060" s="108"/>
      <c r="AW1060" s="108"/>
      <c r="AX1060" s="108" t="s">
        <v>160</v>
      </c>
      <c r="AY1060" s="108" t="s">
        <v>160</v>
      </c>
      <c r="AZ1060" s="108"/>
      <c r="BA1060" s="108"/>
      <c r="BB1060" s="108"/>
      <c r="BC1060" s="108"/>
      <c r="BD1060" s="108"/>
      <c r="BE1060" s="108"/>
    </row>
    <row r="1061" spans="1:57" s="33" customFormat="1" x14ac:dyDescent="0.25">
      <c r="A1061" s="6" t="s">
        <v>8</v>
      </c>
      <c r="B1061" s="9">
        <v>98160</v>
      </c>
      <c r="C1061" s="9" t="s">
        <v>1511</v>
      </c>
      <c r="D1061" s="9" t="s">
        <v>1512</v>
      </c>
      <c r="E1061" s="3">
        <v>59.3446</v>
      </c>
      <c r="F1061" s="3">
        <v>18.740400000000001</v>
      </c>
      <c r="G1061" s="9">
        <v>19.286999999999999</v>
      </c>
      <c r="H1061" s="9" t="s">
        <v>150</v>
      </c>
      <c r="I1061" s="21" t="s">
        <v>8</v>
      </c>
      <c r="J1061" s="21" t="s">
        <v>8</v>
      </c>
      <c r="K1061" s="3" t="s">
        <v>5</v>
      </c>
      <c r="L1061" s="5" t="s">
        <v>2693</v>
      </c>
      <c r="M1061" s="7" t="s">
        <v>2653</v>
      </c>
      <c r="N1061" s="19" t="s">
        <v>1107</v>
      </c>
      <c r="O1061" s="22"/>
      <c r="P1061" s="19" t="s">
        <v>160</v>
      </c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19"/>
      <c r="AB1061" s="19"/>
      <c r="AC1061" s="19"/>
      <c r="AD1061" s="19"/>
      <c r="AE1061" s="19"/>
      <c r="AF1061" s="19"/>
      <c r="AG1061" s="19"/>
      <c r="AH1061" s="19"/>
      <c r="AI1061" s="19"/>
      <c r="AJ1061" s="19"/>
      <c r="AK1061" s="19"/>
      <c r="AL1061" s="19"/>
      <c r="AM1061" s="19"/>
      <c r="AN1061" s="19"/>
      <c r="AO1061" s="19"/>
      <c r="AP1061" s="19"/>
      <c r="AQ1061" s="19"/>
      <c r="AR1061" s="19" t="s">
        <v>160</v>
      </c>
      <c r="AS1061" s="19" t="s">
        <v>160</v>
      </c>
      <c r="AT1061" s="19" t="s">
        <v>160</v>
      </c>
      <c r="AU1061" s="19" t="s">
        <v>160</v>
      </c>
      <c r="AV1061" s="19"/>
      <c r="AW1061" s="19"/>
      <c r="AX1061" s="19" t="s">
        <v>160</v>
      </c>
      <c r="AY1061" s="19" t="s">
        <v>160</v>
      </c>
      <c r="AZ1061" s="19"/>
      <c r="BA1061" s="19"/>
      <c r="BB1061" s="19"/>
      <c r="BC1061" s="19"/>
      <c r="BD1061" s="19"/>
      <c r="BE1061" s="19"/>
    </row>
    <row r="1062" spans="1:57" x14ac:dyDescent="0.25">
      <c r="A1062" s="6" t="s">
        <v>706</v>
      </c>
      <c r="B1062" s="9">
        <v>200</v>
      </c>
      <c r="C1062" s="9" t="s">
        <v>1511</v>
      </c>
      <c r="D1062" s="62" t="s">
        <v>2765</v>
      </c>
      <c r="E1062" s="3">
        <f>59+20/60+40/3600</f>
        <v>59.344444444444449</v>
      </c>
      <c r="F1062" s="3">
        <f>18+44/60+26/3600</f>
        <v>18.740555555555556</v>
      </c>
      <c r="G1062" s="9"/>
      <c r="H1062" s="9" t="s">
        <v>150</v>
      </c>
      <c r="I1062" s="21" t="s">
        <v>8</v>
      </c>
      <c r="J1062" s="21" t="s">
        <v>8</v>
      </c>
      <c r="K1062" s="3" t="s">
        <v>5</v>
      </c>
      <c r="L1062" s="5" t="s">
        <v>2043</v>
      </c>
      <c r="M1062" s="7" t="s">
        <v>2653</v>
      </c>
      <c r="N1062" s="19" t="s">
        <v>1107</v>
      </c>
      <c r="O1062" s="22"/>
      <c r="AR1062" s="19" t="s">
        <v>160</v>
      </c>
      <c r="AS1062" s="19" t="s">
        <v>160</v>
      </c>
      <c r="BB1062" s="19"/>
      <c r="BC1062" s="19"/>
      <c r="BD1062" s="19"/>
      <c r="BE1062" s="19"/>
    </row>
    <row r="1063" spans="1:57" x14ac:dyDescent="0.25">
      <c r="A1063" s="6" t="s">
        <v>8</v>
      </c>
      <c r="B1063" s="9">
        <v>150450</v>
      </c>
      <c r="C1063" s="9" t="s">
        <v>2412</v>
      </c>
      <c r="D1063" s="9" t="s">
        <v>1513</v>
      </c>
      <c r="E1063" s="3">
        <v>64.758399999999995</v>
      </c>
      <c r="F1063" s="3">
        <v>20.947800000000001</v>
      </c>
      <c r="G1063" s="9">
        <v>40</v>
      </c>
      <c r="H1063" s="9" t="s">
        <v>150</v>
      </c>
      <c r="I1063" s="6" t="s">
        <v>8</v>
      </c>
      <c r="J1063" s="21" t="s">
        <v>8</v>
      </c>
      <c r="K1063" s="3" t="s">
        <v>5</v>
      </c>
      <c r="L1063" s="5" t="s">
        <v>2681</v>
      </c>
      <c r="M1063" s="7" t="s">
        <v>717</v>
      </c>
      <c r="N1063" s="19" t="s">
        <v>2530</v>
      </c>
      <c r="O1063" s="22"/>
      <c r="P1063" s="19" t="s">
        <v>160</v>
      </c>
      <c r="AR1063" s="19" t="s">
        <v>160</v>
      </c>
      <c r="AT1063" s="19" t="s">
        <v>160</v>
      </c>
      <c r="AX1063" s="19" t="s">
        <v>160</v>
      </c>
      <c r="AZ1063" s="19" t="s">
        <v>160</v>
      </c>
      <c r="BB1063" s="19"/>
      <c r="BC1063" s="19"/>
      <c r="BD1063" s="19"/>
      <c r="BE1063" s="19"/>
    </row>
    <row r="1064" spans="1:57" x14ac:dyDescent="0.25">
      <c r="A1064" s="6" t="s">
        <v>8</v>
      </c>
      <c r="B1064" s="9">
        <v>151380</v>
      </c>
      <c r="C1064" s="9" t="s">
        <v>2449</v>
      </c>
      <c r="D1064" s="9" t="s">
        <v>1514</v>
      </c>
      <c r="E1064" s="3">
        <v>64.624399999999994</v>
      </c>
      <c r="F1064" s="3">
        <v>21.0717</v>
      </c>
      <c r="G1064" s="9">
        <v>48</v>
      </c>
      <c r="H1064" s="9"/>
      <c r="I1064" s="21" t="s">
        <v>8</v>
      </c>
      <c r="J1064" s="21" t="s">
        <v>8</v>
      </c>
      <c r="K1064" s="3" t="s">
        <v>5</v>
      </c>
      <c r="L1064" s="5" t="s">
        <v>2680</v>
      </c>
      <c r="M1064" s="7" t="s">
        <v>2653</v>
      </c>
      <c r="N1064" s="19" t="s">
        <v>1132</v>
      </c>
      <c r="O1064" s="22"/>
      <c r="P1064" s="19" t="s">
        <v>160</v>
      </c>
      <c r="AR1064" s="19" t="s">
        <v>160</v>
      </c>
      <c r="AS1064" s="19" t="s">
        <v>160</v>
      </c>
      <c r="AT1064" s="19" t="s">
        <v>160</v>
      </c>
      <c r="AU1064" s="19" t="s">
        <v>160</v>
      </c>
      <c r="AV1064" s="19" t="s">
        <v>160</v>
      </c>
      <c r="AW1064" s="19" t="s">
        <v>160</v>
      </c>
      <c r="AX1064" s="19" t="s">
        <v>160</v>
      </c>
      <c r="AY1064" s="19" t="s">
        <v>160</v>
      </c>
      <c r="AZ1064" s="19" t="s">
        <v>160</v>
      </c>
      <c r="BA1064" s="19" t="s">
        <v>160</v>
      </c>
      <c r="BB1064" s="19"/>
      <c r="BC1064" s="19"/>
      <c r="BD1064" s="19"/>
      <c r="BE1064" s="19"/>
    </row>
    <row r="1065" spans="1:57" x14ac:dyDescent="0.25">
      <c r="A1065" s="6" t="s">
        <v>8</v>
      </c>
      <c r="B1065" s="9">
        <v>54290</v>
      </c>
      <c r="C1065" s="9" t="s">
        <v>1515</v>
      </c>
      <c r="D1065" s="9" t="s">
        <v>1516</v>
      </c>
      <c r="E1065" s="3">
        <v>55.488999999999997</v>
      </c>
      <c r="F1065" s="3">
        <v>14.314399999999999</v>
      </c>
      <c r="G1065" s="9">
        <v>4.016</v>
      </c>
      <c r="H1065" s="9" t="s">
        <v>150</v>
      </c>
      <c r="I1065" s="21" t="s">
        <v>8</v>
      </c>
      <c r="J1065" s="21" t="s">
        <v>8</v>
      </c>
      <c r="K1065" s="3" t="s">
        <v>5</v>
      </c>
      <c r="L1065" s="5" t="s">
        <v>2680</v>
      </c>
      <c r="M1065" s="7" t="s">
        <v>2653</v>
      </c>
      <c r="N1065" s="19" t="s">
        <v>2303</v>
      </c>
      <c r="O1065" s="22"/>
      <c r="P1065" s="19" t="s">
        <v>160</v>
      </c>
      <c r="AR1065" s="19" t="s">
        <v>160</v>
      </c>
      <c r="AS1065" s="19" t="s">
        <v>160</v>
      </c>
      <c r="AT1065" s="19" t="s">
        <v>160</v>
      </c>
      <c r="AU1065" s="19" t="s">
        <v>160</v>
      </c>
      <c r="AV1065" s="19" t="s">
        <v>160</v>
      </c>
      <c r="AW1065" s="19" t="s">
        <v>160</v>
      </c>
      <c r="AX1065" s="19" t="s">
        <v>160</v>
      </c>
      <c r="AY1065" s="19" t="s">
        <v>160</v>
      </c>
      <c r="AZ1065" s="19" t="s">
        <v>160</v>
      </c>
      <c r="BA1065" s="19" t="s">
        <v>160</v>
      </c>
      <c r="BB1065" s="19"/>
      <c r="BC1065" s="19"/>
      <c r="BD1065" s="19"/>
      <c r="BE1065" s="19"/>
    </row>
    <row r="1066" spans="1:57" x14ac:dyDescent="0.25">
      <c r="A1066" s="6" t="s">
        <v>706</v>
      </c>
      <c r="B1066" s="9">
        <v>203</v>
      </c>
      <c r="C1066" s="9" t="s">
        <v>1515</v>
      </c>
      <c r="D1066" s="62" t="s">
        <v>2764</v>
      </c>
      <c r="E1066" s="3">
        <f>55+29/60+20/3600</f>
        <v>55.488888888888887</v>
      </c>
      <c r="F1066" s="3">
        <f>14+18/60+52/3600</f>
        <v>14.314444444444446</v>
      </c>
      <c r="G1066" s="9"/>
      <c r="H1066" s="9" t="s">
        <v>150</v>
      </c>
      <c r="I1066" s="21" t="s">
        <v>8</v>
      </c>
      <c r="J1066" s="21" t="s">
        <v>8</v>
      </c>
      <c r="K1066" s="3" t="s">
        <v>5</v>
      </c>
      <c r="L1066" s="5" t="s">
        <v>2043</v>
      </c>
      <c r="M1066" s="7" t="s">
        <v>2653</v>
      </c>
      <c r="N1066" s="19" t="s">
        <v>2303</v>
      </c>
      <c r="O1066" s="22"/>
      <c r="P1066" s="19" t="s">
        <v>160</v>
      </c>
      <c r="AR1066" s="19" t="s">
        <v>160</v>
      </c>
      <c r="AS1066" s="19" t="s">
        <v>160</v>
      </c>
      <c r="BB1066" s="19"/>
      <c r="BC1066" s="19"/>
      <c r="BD1066" s="19"/>
      <c r="BE1066" s="19"/>
    </row>
    <row r="1067" spans="1:57" s="94" customFormat="1" x14ac:dyDescent="0.25">
      <c r="A1067" s="9" t="s">
        <v>707</v>
      </c>
      <c r="B1067" s="137" t="s">
        <v>548</v>
      </c>
      <c r="C1067" s="23" t="s">
        <v>827</v>
      </c>
      <c r="D1067" s="40" t="s">
        <v>549</v>
      </c>
      <c r="E1067" s="46" t="s">
        <v>2155</v>
      </c>
      <c r="F1067" s="46" t="s">
        <v>2156</v>
      </c>
      <c r="G1067" s="40"/>
      <c r="H1067" s="9" t="s">
        <v>148</v>
      </c>
      <c r="I1067" s="41" t="s">
        <v>169</v>
      </c>
      <c r="J1067" s="41" t="s">
        <v>169</v>
      </c>
      <c r="K1067" s="40" t="s">
        <v>6</v>
      </c>
      <c r="L1067" s="41" t="s">
        <v>2030</v>
      </c>
      <c r="M1067" s="7" t="s">
        <v>2653</v>
      </c>
      <c r="N1067" s="19"/>
      <c r="O1067" s="19"/>
      <c r="P1067" s="19"/>
      <c r="Q1067" s="19"/>
      <c r="R1067" s="19"/>
      <c r="S1067" s="19"/>
      <c r="T1067" s="19"/>
      <c r="U1067" s="19"/>
      <c r="V1067" s="42" t="s">
        <v>160</v>
      </c>
      <c r="W1067" s="42" t="s">
        <v>160</v>
      </c>
      <c r="X1067" s="42"/>
      <c r="Y1067" s="42"/>
      <c r="Z1067" s="42"/>
      <c r="AA1067" s="42"/>
      <c r="AB1067" s="42"/>
      <c r="AC1067" s="42"/>
      <c r="AD1067" s="42"/>
      <c r="AE1067" s="42"/>
      <c r="AF1067" s="42"/>
      <c r="AG1067" s="42"/>
      <c r="AH1067" s="42"/>
      <c r="AI1067" s="42"/>
      <c r="AJ1067" s="42"/>
      <c r="AK1067" s="42"/>
      <c r="AL1067" s="42"/>
      <c r="AM1067" s="42"/>
      <c r="AN1067" s="42"/>
      <c r="AO1067" s="42"/>
      <c r="AP1067" s="42"/>
      <c r="AQ1067" s="42"/>
      <c r="AR1067" s="42"/>
      <c r="AS1067" s="42"/>
      <c r="AT1067" s="19"/>
      <c r="AU1067" s="19"/>
      <c r="AV1067" s="19"/>
      <c r="AW1067" s="19"/>
      <c r="AX1067" s="19"/>
      <c r="AY1067" s="19"/>
      <c r="AZ1067" s="42"/>
      <c r="BA1067" s="42"/>
      <c r="BB1067" s="42"/>
      <c r="BC1067" s="42"/>
      <c r="BD1067" s="42"/>
      <c r="BE1067" s="42"/>
    </row>
    <row r="1068" spans="1:57" x14ac:dyDescent="0.25">
      <c r="A1068" s="114" t="s">
        <v>2773</v>
      </c>
      <c r="B1068" s="139" t="s">
        <v>2815</v>
      </c>
      <c r="C1068" s="110" t="s">
        <v>827</v>
      </c>
      <c r="D1068" s="153" t="s">
        <v>103</v>
      </c>
      <c r="E1068" s="93">
        <f>59+18/60+58.7412/3600</f>
        <v>59.316316999999998</v>
      </c>
      <c r="F1068" s="93">
        <f>13+26/60+18.6/3600</f>
        <v>13.438499999999999</v>
      </c>
      <c r="G1068" s="93"/>
      <c r="H1068" s="94" t="s">
        <v>148</v>
      </c>
      <c r="I1068" s="102" t="s">
        <v>169</v>
      </c>
      <c r="J1068" s="102" t="s">
        <v>169</v>
      </c>
      <c r="K1068" s="102" t="s">
        <v>6</v>
      </c>
      <c r="L1068" s="102" t="s">
        <v>2030</v>
      </c>
      <c r="M1068" s="105" t="s">
        <v>2653</v>
      </c>
      <c r="N1068" s="108"/>
      <c r="O1068" s="108"/>
      <c r="P1068" s="108"/>
      <c r="Q1068" s="108"/>
      <c r="R1068" s="108"/>
      <c r="S1068" s="108"/>
      <c r="T1068" s="108"/>
      <c r="U1068" s="108"/>
      <c r="V1068" s="108" t="s">
        <v>160</v>
      </c>
      <c r="W1068" s="108" t="s">
        <v>160</v>
      </c>
      <c r="X1068" s="108"/>
      <c r="Y1068" s="108"/>
      <c r="Z1068" s="108"/>
      <c r="AA1068" s="108"/>
      <c r="AB1068" s="108"/>
      <c r="AC1068" s="108"/>
      <c r="AD1068" s="108"/>
      <c r="AE1068" s="108"/>
      <c r="AF1068" s="108"/>
      <c r="AG1068" s="108"/>
      <c r="AH1068" s="108"/>
      <c r="AI1068" s="108"/>
      <c r="AJ1068" s="108"/>
      <c r="AK1068" s="108"/>
      <c r="AL1068" s="108"/>
      <c r="AM1068" s="108"/>
      <c r="AN1068" s="108"/>
      <c r="AO1068" s="108"/>
      <c r="AP1068" s="108"/>
      <c r="AQ1068" s="108"/>
      <c r="AR1068" s="108"/>
      <c r="AS1068" s="108"/>
      <c r="AT1068" s="108"/>
      <c r="AU1068" s="108"/>
      <c r="AV1068" s="108"/>
      <c r="AW1068" s="108"/>
      <c r="AX1068" s="108"/>
      <c r="AY1068" s="108"/>
      <c r="AZ1068" s="108"/>
      <c r="BA1068" s="108"/>
      <c r="BB1068" s="108"/>
      <c r="BC1068" s="108"/>
      <c r="BD1068" s="108"/>
      <c r="BE1068" s="108"/>
    </row>
    <row r="1069" spans="1:57" x14ac:dyDescent="0.25">
      <c r="A1069" s="6" t="s">
        <v>8</v>
      </c>
      <c r="B1069" s="142" t="s">
        <v>2949</v>
      </c>
      <c r="C1069" s="23" t="s">
        <v>827</v>
      </c>
      <c r="D1069" s="24" t="s">
        <v>827</v>
      </c>
      <c r="E1069" s="5">
        <f>59+18/60+58.7412/3600</f>
        <v>59.316316999999998</v>
      </c>
      <c r="F1069" s="5">
        <f>13+26/60+18.6/3600</f>
        <v>13.438499999999999</v>
      </c>
      <c r="G1069" s="5"/>
      <c r="H1069" s="9" t="s">
        <v>148</v>
      </c>
      <c r="I1069" s="24" t="s">
        <v>169</v>
      </c>
      <c r="J1069" s="24" t="s">
        <v>169</v>
      </c>
      <c r="K1069" s="24" t="s">
        <v>6</v>
      </c>
      <c r="L1069" s="24" t="s">
        <v>2030</v>
      </c>
      <c r="M1069" s="7" t="s">
        <v>2653</v>
      </c>
      <c r="V1069" s="19" t="s">
        <v>160</v>
      </c>
      <c r="W1069" s="19" t="s">
        <v>160</v>
      </c>
      <c r="BB1069" s="19"/>
      <c r="BC1069" s="19"/>
      <c r="BD1069" s="19"/>
      <c r="BE1069" s="19"/>
    </row>
    <row r="1070" spans="1:57" x14ac:dyDescent="0.25">
      <c r="A1070" s="9" t="s">
        <v>706</v>
      </c>
      <c r="B1070" s="140">
        <v>79</v>
      </c>
      <c r="C1070" s="23" t="s">
        <v>827</v>
      </c>
      <c r="D1070" s="62" t="s">
        <v>103</v>
      </c>
      <c r="E1070" s="3">
        <f>59+18/60+59/3600</f>
        <v>59.316388888888888</v>
      </c>
      <c r="F1070" s="3">
        <f>13+26/60+19/3600</f>
        <v>13.438611111111111</v>
      </c>
      <c r="G1070" s="5"/>
      <c r="H1070" s="9" t="s">
        <v>148</v>
      </c>
      <c r="I1070" s="7" t="s">
        <v>169</v>
      </c>
      <c r="J1070" s="7" t="s">
        <v>169</v>
      </c>
      <c r="K1070" s="9" t="s">
        <v>6</v>
      </c>
      <c r="L1070" s="7" t="s">
        <v>2030</v>
      </c>
      <c r="M1070" s="7" t="s">
        <v>2653</v>
      </c>
      <c r="V1070" s="19" t="s">
        <v>160</v>
      </c>
      <c r="W1070" s="19" t="s">
        <v>160</v>
      </c>
      <c r="BB1070" s="19"/>
      <c r="BC1070" s="19"/>
      <c r="BD1070" s="19"/>
      <c r="BE1070" s="19"/>
    </row>
    <row r="1071" spans="1:57" x14ac:dyDescent="0.25">
      <c r="A1071" s="9" t="s">
        <v>707</v>
      </c>
      <c r="B1071" s="39" t="s">
        <v>550</v>
      </c>
      <c r="C1071" s="39" t="s">
        <v>872</v>
      </c>
      <c r="D1071" s="40" t="s">
        <v>551</v>
      </c>
      <c r="E1071" s="46" t="s">
        <v>2157</v>
      </c>
      <c r="F1071" s="46" t="s">
        <v>2225</v>
      </c>
      <c r="G1071" s="40"/>
      <c r="H1071" s="9" t="s">
        <v>150</v>
      </c>
      <c r="I1071" s="41" t="s">
        <v>169</v>
      </c>
      <c r="J1071" s="41" t="s">
        <v>169</v>
      </c>
      <c r="K1071" s="40" t="s">
        <v>5</v>
      </c>
      <c r="L1071" s="41" t="s">
        <v>2056</v>
      </c>
      <c r="M1071" s="7" t="s">
        <v>2653</v>
      </c>
      <c r="V1071" s="42"/>
      <c r="W1071" s="42"/>
      <c r="X1071" s="42"/>
      <c r="Y1071" s="42"/>
      <c r="Z1071" s="42"/>
      <c r="AA1071" s="42"/>
      <c r="AB1071" s="42"/>
      <c r="AC1071" s="42"/>
      <c r="AD1071" s="42"/>
      <c r="AE1071" s="42"/>
      <c r="AF1071" s="42"/>
      <c r="AG1071" s="42"/>
      <c r="AH1071" s="42"/>
      <c r="AI1071" s="42"/>
      <c r="AJ1071" s="42"/>
      <c r="AK1071" s="42"/>
      <c r="AL1071" s="42"/>
      <c r="AM1071" s="42"/>
      <c r="AN1071" s="42"/>
      <c r="AO1071" s="42"/>
      <c r="AP1071" s="42"/>
      <c r="AQ1071" s="42"/>
      <c r="AR1071" s="42" t="s">
        <v>160</v>
      </c>
      <c r="AS1071" s="42" t="s">
        <v>160</v>
      </c>
      <c r="AZ1071" s="42" t="s">
        <v>160</v>
      </c>
      <c r="BA1071" s="42" t="s">
        <v>160</v>
      </c>
      <c r="BB1071" s="42"/>
      <c r="BC1071" s="42"/>
      <c r="BD1071" s="42"/>
      <c r="BE1071" s="42"/>
    </row>
    <row r="1072" spans="1:57" x14ac:dyDescent="0.25">
      <c r="A1072" s="6" t="s">
        <v>8</v>
      </c>
      <c r="B1072" s="23">
        <v>35202</v>
      </c>
      <c r="C1072" s="23" t="s">
        <v>872</v>
      </c>
      <c r="D1072" s="24" t="s">
        <v>828</v>
      </c>
      <c r="E1072" s="5">
        <v>59.28633</v>
      </c>
      <c r="F1072" s="5">
        <v>18.894079999999999</v>
      </c>
      <c r="G1072" s="5"/>
      <c r="H1072" s="9" t="s">
        <v>150</v>
      </c>
      <c r="I1072" s="24" t="s">
        <v>169</v>
      </c>
      <c r="J1072" s="24" t="s">
        <v>169</v>
      </c>
      <c r="K1072" s="24" t="s">
        <v>5</v>
      </c>
      <c r="L1072" s="24" t="s">
        <v>2056</v>
      </c>
      <c r="M1072" s="7" t="s">
        <v>2653</v>
      </c>
      <c r="AR1072" s="19" t="s">
        <v>160</v>
      </c>
      <c r="AS1072" s="19" t="s">
        <v>160</v>
      </c>
      <c r="AZ1072" s="19" t="s">
        <v>160</v>
      </c>
      <c r="BA1072" s="19" t="s">
        <v>160</v>
      </c>
      <c r="BB1072" s="19"/>
      <c r="BC1072" s="19"/>
      <c r="BD1072" s="19"/>
      <c r="BE1072" s="19"/>
    </row>
    <row r="1073" spans="1:57" x14ac:dyDescent="0.25">
      <c r="A1073" s="9" t="s">
        <v>706</v>
      </c>
      <c r="B1073" s="38">
        <v>80</v>
      </c>
      <c r="C1073" s="38" t="s">
        <v>872</v>
      </c>
      <c r="D1073" s="62" t="s">
        <v>104</v>
      </c>
      <c r="E1073" s="3">
        <f>59+17/60+11/3600</f>
        <v>59.286388888888887</v>
      </c>
      <c r="F1073" s="3">
        <f>18+53/60+39/3600</f>
        <v>18.894166666666667</v>
      </c>
      <c r="G1073" s="5"/>
      <c r="H1073" s="9" t="s">
        <v>150</v>
      </c>
      <c r="I1073" s="7" t="s">
        <v>169</v>
      </c>
      <c r="J1073" s="7" t="s">
        <v>169</v>
      </c>
      <c r="K1073" s="9" t="s">
        <v>5</v>
      </c>
      <c r="L1073" s="7" t="s">
        <v>2056</v>
      </c>
      <c r="M1073" s="7" t="s">
        <v>2653</v>
      </c>
      <c r="AR1073" s="19" t="s">
        <v>160</v>
      </c>
      <c r="AS1073" s="19" t="s">
        <v>160</v>
      </c>
      <c r="AZ1073" s="19" t="s">
        <v>160</v>
      </c>
      <c r="BA1073" s="19" t="s">
        <v>160</v>
      </c>
      <c r="BB1073" s="19"/>
      <c r="BC1073" s="19"/>
      <c r="BD1073" s="19"/>
      <c r="BE1073" s="19"/>
    </row>
    <row r="1074" spans="1:57" x14ac:dyDescent="0.25">
      <c r="A1074" s="9" t="s">
        <v>707</v>
      </c>
      <c r="B1074" s="137" t="s">
        <v>554</v>
      </c>
      <c r="C1074" s="23" t="s">
        <v>756</v>
      </c>
      <c r="D1074" s="40" t="s">
        <v>555</v>
      </c>
      <c r="E1074" s="46" t="s">
        <v>557</v>
      </c>
      <c r="F1074" s="46" t="s">
        <v>556</v>
      </c>
      <c r="G1074" s="40"/>
      <c r="H1074" s="9" t="s">
        <v>150</v>
      </c>
      <c r="I1074" s="41" t="s">
        <v>169</v>
      </c>
      <c r="J1074" s="41" t="s">
        <v>169</v>
      </c>
      <c r="K1074" s="40" t="s">
        <v>6</v>
      </c>
      <c r="L1074" s="41" t="s">
        <v>2030</v>
      </c>
      <c r="M1074" s="7" t="s">
        <v>2653</v>
      </c>
      <c r="N1074" s="19" t="s">
        <v>1108</v>
      </c>
      <c r="O1074" s="42" t="s">
        <v>160</v>
      </c>
      <c r="Q1074" s="19" t="s">
        <v>1662</v>
      </c>
      <c r="U1074" s="19">
        <v>3</v>
      </c>
      <c r="V1074" s="42" t="s">
        <v>160</v>
      </c>
      <c r="W1074" s="42" t="s">
        <v>160</v>
      </c>
      <c r="X1074" s="42"/>
      <c r="Y1074" s="42"/>
      <c r="Z1074" s="42"/>
      <c r="AA1074" s="42"/>
      <c r="AB1074" s="42"/>
      <c r="AC1074" s="42"/>
      <c r="AD1074" s="42"/>
      <c r="AE1074" s="42"/>
      <c r="AF1074" s="42"/>
      <c r="AG1074" s="42"/>
      <c r="AH1074" s="42"/>
      <c r="AI1074" s="42"/>
      <c r="AJ1074" s="42"/>
      <c r="AK1074" s="42"/>
      <c r="AL1074" s="42"/>
      <c r="AM1074" s="42"/>
      <c r="AN1074" s="42"/>
      <c r="AO1074" s="42"/>
      <c r="AP1074" s="42"/>
      <c r="AQ1074" s="42"/>
      <c r="AR1074" s="42"/>
      <c r="AS1074" s="42"/>
      <c r="AZ1074" s="42"/>
      <c r="BA1074" s="42"/>
      <c r="BB1074" s="42"/>
      <c r="BC1074" s="42"/>
      <c r="BD1074" s="42"/>
      <c r="BE1074" s="42"/>
    </row>
    <row r="1075" spans="1:57" x14ac:dyDescent="0.25">
      <c r="A1075" s="9" t="s">
        <v>707</v>
      </c>
      <c r="B1075" s="39" t="s">
        <v>552</v>
      </c>
      <c r="C1075" s="39" t="s">
        <v>756</v>
      </c>
      <c r="D1075" s="40" t="s">
        <v>553</v>
      </c>
      <c r="E1075" s="46" t="s">
        <v>2158</v>
      </c>
      <c r="F1075" s="46" t="s">
        <v>2159</v>
      </c>
      <c r="G1075" s="40"/>
      <c r="H1075" s="9" t="s">
        <v>150</v>
      </c>
      <c r="I1075" s="41" t="s">
        <v>169</v>
      </c>
      <c r="J1075" s="41" t="s">
        <v>169</v>
      </c>
      <c r="K1075" s="40" t="s">
        <v>5</v>
      </c>
      <c r="L1075" s="41" t="s">
        <v>2043</v>
      </c>
      <c r="M1075" s="7" t="s">
        <v>2653</v>
      </c>
      <c r="N1075" s="19" t="s">
        <v>1108</v>
      </c>
      <c r="V1075" s="42"/>
      <c r="W1075" s="42"/>
      <c r="X1075" s="42"/>
      <c r="Y1075" s="42"/>
      <c r="Z1075" s="42"/>
      <c r="AA1075" s="42"/>
      <c r="AB1075" s="42"/>
      <c r="AC1075" s="42"/>
      <c r="AD1075" s="42"/>
      <c r="AE1075" s="42"/>
      <c r="AF1075" s="42"/>
      <c r="AG1075" s="42"/>
      <c r="AH1075" s="42"/>
      <c r="AI1075" s="42"/>
      <c r="AJ1075" s="42"/>
      <c r="AK1075" s="42"/>
      <c r="AL1075" s="42"/>
      <c r="AM1075" s="42"/>
      <c r="AN1075" s="42"/>
      <c r="AO1075" s="42"/>
      <c r="AP1075" s="42"/>
      <c r="AQ1075" s="42"/>
      <c r="AR1075" s="42" t="s">
        <v>160</v>
      </c>
      <c r="AS1075" s="42" t="s">
        <v>160</v>
      </c>
      <c r="AZ1075" s="42"/>
      <c r="BA1075" s="42"/>
      <c r="BB1075" s="42"/>
      <c r="BC1075" s="42"/>
      <c r="BD1075" s="42"/>
      <c r="BE1075" s="42"/>
    </row>
    <row r="1076" spans="1:57" x14ac:dyDescent="0.25">
      <c r="A1076" s="53" t="s">
        <v>2763</v>
      </c>
      <c r="B1076" s="143">
        <v>35114</v>
      </c>
      <c r="C1076" s="85" t="s">
        <v>756</v>
      </c>
      <c r="D1076" s="85" t="s">
        <v>756</v>
      </c>
      <c r="E1076" s="3">
        <v>57.706000000000003</v>
      </c>
      <c r="F1076" s="3">
        <v>18.809999999999999</v>
      </c>
      <c r="G1076" s="85"/>
      <c r="H1076" s="9" t="s">
        <v>150</v>
      </c>
      <c r="I1076" s="14" t="s">
        <v>169</v>
      </c>
      <c r="J1076" s="85" t="s">
        <v>169</v>
      </c>
      <c r="K1076" s="7" t="s">
        <v>6</v>
      </c>
      <c r="L1076" s="7" t="s">
        <v>2030</v>
      </c>
      <c r="M1076" s="7" t="s">
        <v>2653</v>
      </c>
      <c r="N1076" s="42" t="s">
        <v>1108</v>
      </c>
      <c r="O1076" s="42" t="s">
        <v>160</v>
      </c>
      <c r="P1076" s="42"/>
      <c r="Q1076" s="19" t="s">
        <v>1662</v>
      </c>
      <c r="U1076" s="42">
        <v>3</v>
      </c>
      <c r="V1076" s="20" t="s">
        <v>160</v>
      </c>
      <c r="W1076" s="20" t="s">
        <v>160</v>
      </c>
      <c r="X1076" s="85"/>
      <c r="Y1076" s="85"/>
      <c r="Z1076" s="85"/>
      <c r="AA1076" s="85"/>
      <c r="AB1076" s="85"/>
      <c r="AC1076" s="85"/>
      <c r="AD1076" s="85"/>
      <c r="AE1076" s="85"/>
      <c r="AF1076" s="85"/>
      <c r="AG1076" s="85"/>
      <c r="AH1076" s="85"/>
      <c r="AI1076" s="85"/>
      <c r="AJ1076" s="85"/>
      <c r="AK1076" s="85"/>
      <c r="AL1076" s="85"/>
      <c r="AM1076" s="85"/>
      <c r="AN1076" s="85"/>
      <c r="AO1076" s="85"/>
      <c r="AP1076" s="85"/>
      <c r="AQ1076" s="85"/>
      <c r="AR1076" s="85"/>
      <c r="AS1076" s="85"/>
      <c r="AT1076" s="85"/>
      <c r="AU1076" s="85"/>
      <c r="AV1076" s="85"/>
      <c r="AW1076" s="85"/>
      <c r="AX1076" s="85"/>
      <c r="AY1076" s="85"/>
      <c r="AZ1076" s="85"/>
      <c r="BA1076" s="85"/>
      <c r="BB1076" s="85"/>
      <c r="BC1076" s="85"/>
      <c r="BD1076" s="85"/>
      <c r="BE1076" s="85"/>
    </row>
    <row r="1077" spans="1:57" s="94" customFormat="1" x14ac:dyDescent="0.25">
      <c r="A1077" s="105" t="s">
        <v>2773</v>
      </c>
      <c r="B1077" s="139" t="s">
        <v>3013</v>
      </c>
      <c r="C1077" s="110" t="s">
        <v>756</v>
      </c>
      <c r="D1077" s="153" t="s">
        <v>105</v>
      </c>
      <c r="E1077" s="93">
        <f>57+42/60+21.42/3600</f>
        <v>57.705950000000001</v>
      </c>
      <c r="F1077" s="93">
        <f>18+48/60+38.196/3600</f>
        <v>18.81061</v>
      </c>
      <c r="G1077" s="81"/>
      <c r="H1077" s="105" t="s">
        <v>150</v>
      </c>
      <c r="I1077" s="105" t="s">
        <v>169</v>
      </c>
      <c r="J1077" s="105" t="s">
        <v>169</v>
      </c>
      <c r="K1077" s="105" t="s">
        <v>40</v>
      </c>
      <c r="L1077" s="105" t="s">
        <v>2054</v>
      </c>
      <c r="M1077" s="105" t="s">
        <v>2653</v>
      </c>
      <c r="N1077" s="106" t="s">
        <v>1108</v>
      </c>
      <c r="O1077" s="106" t="s">
        <v>160</v>
      </c>
      <c r="P1077" s="106"/>
      <c r="Q1077" s="108" t="s">
        <v>1662</v>
      </c>
      <c r="R1077" s="108"/>
      <c r="S1077" s="108"/>
      <c r="T1077" s="108"/>
      <c r="U1077" s="106">
        <v>3</v>
      </c>
      <c r="V1077" s="103" t="s">
        <v>160</v>
      </c>
      <c r="W1077" s="103" t="s">
        <v>160</v>
      </c>
      <c r="X1077" s="103"/>
      <c r="Y1077" s="103"/>
      <c r="Z1077" s="103"/>
      <c r="AA1077" s="103"/>
      <c r="AB1077" s="103"/>
      <c r="AC1077" s="103"/>
      <c r="AD1077" s="103"/>
      <c r="AE1077" s="103"/>
      <c r="AF1077" s="103"/>
      <c r="AG1077" s="103"/>
      <c r="AH1077" s="103"/>
      <c r="AI1077" s="103"/>
      <c r="AJ1077" s="103"/>
      <c r="AK1077" s="103"/>
      <c r="AL1077" s="103"/>
      <c r="AM1077" s="103"/>
      <c r="AN1077" s="103"/>
      <c r="AO1077" s="103"/>
      <c r="AP1077" s="103"/>
      <c r="AQ1077" s="103"/>
      <c r="AR1077" s="103" t="s">
        <v>160</v>
      </c>
      <c r="AS1077" s="103" t="s">
        <v>160</v>
      </c>
      <c r="AT1077" s="103"/>
      <c r="AU1077" s="103"/>
      <c r="AV1077" s="103"/>
      <c r="AW1077" s="103"/>
      <c r="AX1077" s="103"/>
      <c r="AY1077" s="103"/>
      <c r="AZ1077" s="103"/>
      <c r="BA1077" s="103"/>
      <c r="BB1077" s="103"/>
      <c r="BC1077" s="103"/>
      <c r="BD1077" s="103"/>
      <c r="BE1077" s="103"/>
    </row>
    <row r="1078" spans="1:57" x14ac:dyDescent="0.25">
      <c r="A1078" s="7" t="s">
        <v>8</v>
      </c>
      <c r="B1078" s="142">
        <v>35114</v>
      </c>
      <c r="C1078" s="23" t="s">
        <v>756</v>
      </c>
      <c r="D1078" s="24" t="s">
        <v>756</v>
      </c>
      <c r="E1078" s="193">
        <v>57.705800000000004</v>
      </c>
      <c r="F1078" s="193">
        <v>18.809999999999999</v>
      </c>
      <c r="G1078" s="43"/>
      <c r="H1078" s="7" t="s">
        <v>150</v>
      </c>
      <c r="I1078" s="7" t="s">
        <v>169</v>
      </c>
      <c r="J1078" s="7" t="s">
        <v>169</v>
      </c>
      <c r="K1078" s="7" t="s">
        <v>40</v>
      </c>
      <c r="L1078" s="7" t="s">
        <v>2054</v>
      </c>
      <c r="M1078" s="7" t="s">
        <v>2653</v>
      </c>
      <c r="N1078" s="42" t="s">
        <v>1108</v>
      </c>
      <c r="O1078" s="42" t="s">
        <v>160</v>
      </c>
      <c r="P1078" s="42"/>
      <c r="Q1078" s="19" t="s">
        <v>1662</v>
      </c>
      <c r="U1078" s="42">
        <v>3</v>
      </c>
      <c r="V1078" s="20" t="s">
        <v>160</v>
      </c>
      <c r="W1078" s="20" t="s">
        <v>160</v>
      </c>
      <c r="X1078" s="20"/>
      <c r="Y1078" s="20"/>
      <c r="Z1078" s="20"/>
      <c r="AA1078" s="20"/>
      <c r="AB1078" s="20"/>
      <c r="AC1078" s="20"/>
      <c r="AD1078" s="20"/>
      <c r="AE1078" s="20"/>
      <c r="AF1078" s="20"/>
      <c r="AG1078" s="20"/>
      <c r="AH1078" s="20"/>
      <c r="AI1078" s="20"/>
      <c r="AJ1078" s="20"/>
      <c r="AK1078" s="20"/>
      <c r="AL1078" s="20"/>
      <c r="AM1078" s="20"/>
      <c r="AN1078" s="20"/>
      <c r="AO1078" s="20"/>
      <c r="AP1078" s="20"/>
      <c r="AQ1078" s="20"/>
      <c r="AR1078" s="20" t="s">
        <v>160</v>
      </c>
      <c r="AS1078" s="20" t="s">
        <v>160</v>
      </c>
      <c r="AT1078" s="20"/>
      <c r="AU1078" s="20"/>
      <c r="AV1078" s="20"/>
      <c r="AW1078" s="20"/>
      <c r="AX1078" s="20"/>
      <c r="AY1078" s="20"/>
      <c r="AZ1078" s="20"/>
      <c r="BA1078" s="20"/>
      <c r="BB1078" s="20"/>
      <c r="BC1078" s="20"/>
      <c r="BD1078" s="20"/>
      <c r="BE1078" s="20"/>
    </row>
    <row r="1079" spans="1:57" x14ac:dyDescent="0.25">
      <c r="A1079" s="9" t="s">
        <v>706</v>
      </c>
      <c r="B1079" s="140">
        <v>81</v>
      </c>
      <c r="C1079" s="23" t="s">
        <v>756</v>
      </c>
      <c r="D1079" s="62" t="s">
        <v>105</v>
      </c>
      <c r="E1079" s="35">
        <f>57+42/60+22/3600</f>
        <v>57.706111111111113</v>
      </c>
      <c r="F1079" s="35">
        <f>18+48/60+36/3600</f>
        <v>18.810000000000002</v>
      </c>
      <c r="G1079" s="43"/>
      <c r="H1079" s="9" t="s">
        <v>150</v>
      </c>
      <c r="I1079" s="7" t="s">
        <v>169</v>
      </c>
      <c r="J1079" s="7" t="s">
        <v>169</v>
      </c>
      <c r="K1079" s="9" t="s">
        <v>40</v>
      </c>
      <c r="L1079" s="7" t="s">
        <v>2054</v>
      </c>
      <c r="M1079" s="7" t="s">
        <v>2653</v>
      </c>
      <c r="N1079" s="19" t="s">
        <v>1108</v>
      </c>
      <c r="O1079" s="42" t="s">
        <v>160</v>
      </c>
      <c r="Q1079" s="19" t="s">
        <v>1662</v>
      </c>
      <c r="U1079" s="19">
        <v>3</v>
      </c>
      <c r="V1079" s="19" t="s">
        <v>160</v>
      </c>
      <c r="W1079" s="19" t="s">
        <v>160</v>
      </c>
      <c r="AR1079" s="19" t="s">
        <v>160</v>
      </c>
      <c r="AS1079" s="19" t="s">
        <v>160</v>
      </c>
      <c r="BB1079" s="19"/>
      <c r="BC1079" s="19"/>
      <c r="BD1079" s="19"/>
      <c r="BE1079" s="19"/>
    </row>
    <row r="1080" spans="1:57" x14ac:dyDescent="0.25">
      <c r="A1080" s="9" t="s">
        <v>707</v>
      </c>
      <c r="B1080" s="137" t="s">
        <v>558</v>
      </c>
      <c r="C1080" s="23" t="s">
        <v>858</v>
      </c>
      <c r="D1080" s="40" t="s">
        <v>559</v>
      </c>
      <c r="E1080" s="46" t="s">
        <v>561</v>
      </c>
      <c r="F1080" s="46" t="s">
        <v>560</v>
      </c>
      <c r="G1080" s="52"/>
      <c r="H1080" s="9" t="s">
        <v>16</v>
      </c>
      <c r="I1080" s="41" t="s">
        <v>8</v>
      </c>
      <c r="J1080" s="41" t="s">
        <v>8</v>
      </c>
      <c r="K1080" s="40" t="s">
        <v>6</v>
      </c>
      <c r="L1080" s="41" t="s">
        <v>2030</v>
      </c>
      <c r="M1080" s="7" t="s">
        <v>2653</v>
      </c>
      <c r="O1080" s="22"/>
      <c r="V1080" s="42" t="s">
        <v>160</v>
      </c>
      <c r="W1080" s="42" t="s">
        <v>160</v>
      </c>
      <c r="X1080" s="42"/>
      <c r="Y1080" s="42"/>
      <c r="Z1080" s="42"/>
      <c r="AA1080" s="42"/>
      <c r="AB1080" s="42"/>
      <c r="AC1080" s="42"/>
      <c r="AD1080" s="42"/>
      <c r="AE1080" s="42"/>
      <c r="AF1080" s="42"/>
      <c r="AG1080" s="42"/>
      <c r="AH1080" s="42"/>
      <c r="AI1080" s="42"/>
      <c r="AJ1080" s="42"/>
      <c r="AK1080" s="42"/>
      <c r="AL1080" s="42"/>
      <c r="AM1080" s="42"/>
      <c r="AN1080" s="42"/>
      <c r="AO1080" s="42"/>
      <c r="AP1080" s="42"/>
      <c r="AQ1080" s="42"/>
      <c r="AR1080" s="42"/>
      <c r="AS1080" s="42"/>
      <c r="AZ1080" s="42"/>
      <c r="BA1080" s="42"/>
      <c r="BB1080" s="42"/>
      <c r="BC1080" s="42"/>
      <c r="BD1080" s="42"/>
      <c r="BE1080" s="42"/>
    </row>
    <row r="1081" spans="1:57" x14ac:dyDescent="0.25">
      <c r="A1081" s="9" t="s">
        <v>707</v>
      </c>
      <c r="B1081" s="137" t="s">
        <v>562</v>
      </c>
      <c r="C1081" s="23" t="s">
        <v>873</v>
      </c>
      <c r="D1081" s="40" t="s">
        <v>563</v>
      </c>
      <c r="E1081" s="46" t="s">
        <v>2234</v>
      </c>
      <c r="F1081" s="46" t="s">
        <v>2235</v>
      </c>
      <c r="G1081" s="40"/>
      <c r="H1081" s="9" t="s">
        <v>150</v>
      </c>
      <c r="I1081" s="41" t="s">
        <v>8</v>
      </c>
      <c r="J1081" s="41" t="s">
        <v>8</v>
      </c>
      <c r="K1081" s="40" t="s">
        <v>6</v>
      </c>
      <c r="L1081" s="41" t="s">
        <v>2030</v>
      </c>
      <c r="M1081" s="7" t="s">
        <v>2653</v>
      </c>
      <c r="N1081" s="42" t="s">
        <v>1110</v>
      </c>
      <c r="O1081" s="22"/>
      <c r="P1081" s="42" t="s">
        <v>160</v>
      </c>
      <c r="Q1081" s="44" t="s">
        <v>1183</v>
      </c>
      <c r="R1081" s="44" t="s">
        <v>1622</v>
      </c>
      <c r="S1081" s="19" t="s">
        <v>160</v>
      </c>
      <c r="T1081" s="19" t="s">
        <v>160</v>
      </c>
      <c r="U1081" s="19">
        <v>1</v>
      </c>
      <c r="V1081" s="42" t="s">
        <v>160</v>
      </c>
      <c r="W1081" s="42" t="s">
        <v>160</v>
      </c>
      <c r="X1081" s="42"/>
      <c r="Y1081" s="42"/>
      <c r="Z1081" s="42"/>
      <c r="AA1081" s="42"/>
      <c r="AB1081" s="42"/>
      <c r="AC1081" s="42"/>
      <c r="AD1081" s="42"/>
      <c r="AE1081" s="42"/>
      <c r="AF1081" s="42"/>
      <c r="AG1081" s="42"/>
      <c r="AH1081" s="42"/>
      <c r="AI1081" s="42"/>
      <c r="AJ1081" s="42"/>
      <c r="AK1081" s="42"/>
      <c r="AL1081" s="42"/>
      <c r="AM1081" s="42"/>
      <c r="AN1081" s="42"/>
      <c r="AO1081" s="42"/>
      <c r="AP1081" s="42"/>
      <c r="AQ1081" s="42"/>
      <c r="AR1081" s="42"/>
      <c r="AS1081" s="42"/>
      <c r="AZ1081" s="42"/>
      <c r="BA1081" s="42"/>
      <c r="BB1081" s="42"/>
      <c r="BC1081" s="42"/>
      <c r="BD1081" s="42"/>
      <c r="BE1081" s="42"/>
    </row>
    <row r="1082" spans="1:57" x14ac:dyDescent="0.25">
      <c r="A1082" s="53" t="s">
        <v>2763</v>
      </c>
      <c r="B1082" s="143">
        <v>2111</v>
      </c>
      <c r="C1082" s="85" t="s">
        <v>873</v>
      </c>
      <c r="D1082" s="85" t="s">
        <v>731</v>
      </c>
      <c r="E1082" s="124">
        <f>58+21/60+12.9996/3600</f>
        <v>58.353611000000001</v>
      </c>
      <c r="F1082" s="124">
        <f>11+13/60+4.0008/3600</f>
        <v>11.217778000000001</v>
      </c>
      <c r="G1082" s="85"/>
      <c r="H1082" s="9" t="s">
        <v>150</v>
      </c>
      <c r="I1082" s="14" t="s">
        <v>8</v>
      </c>
      <c r="J1082" s="85" t="s">
        <v>8</v>
      </c>
      <c r="K1082" s="7" t="s">
        <v>6</v>
      </c>
      <c r="L1082" s="7" t="s">
        <v>2030</v>
      </c>
      <c r="M1082" s="7" t="s">
        <v>2653</v>
      </c>
      <c r="N1082" s="42" t="s">
        <v>1110</v>
      </c>
      <c r="O1082" s="22"/>
      <c r="P1082" s="42" t="s">
        <v>160</v>
      </c>
      <c r="Q1082" s="44" t="s">
        <v>1183</v>
      </c>
      <c r="R1082" s="44" t="s">
        <v>1622</v>
      </c>
      <c r="S1082" s="19" t="s">
        <v>160</v>
      </c>
      <c r="T1082" s="19" t="s">
        <v>160</v>
      </c>
      <c r="U1082" s="42">
        <v>1</v>
      </c>
      <c r="V1082" s="20" t="s">
        <v>160</v>
      </c>
      <c r="W1082" s="20" t="s">
        <v>160</v>
      </c>
      <c r="X1082" s="85"/>
      <c r="Y1082" s="85"/>
      <c r="Z1082" s="85"/>
      <c r="AA1082" s="85"/>
      <c r="AB1082" s="85"/>
      <c r="AC1082" s="85"/>
      <c r="AD1082" s="85"/>
      <c r="AE1082" s="85"/>
      <c r="AF1082" s="85"/>
      <c r="AG1082" s="85"/>
      <c r="AH1082" s="85"/>
      <c r="AI1082" s="85"/>
      <c r="AJ1082" s="85"/>
      <c r="AK1082" s="85"/>
      <c r="AL1082" s="85"/>
      <c r="AM1082" s="85"/>
      <c r="AN1082" s="85"/>
      <c r="AO1082" s="85"/>
      <c r="AP1082" s="85"/>
      <c r="AQ1082" s="85"/>
      <c r="AR1082" s="85"/>
      <c r="AS1082" s="85"/>
      <c r="AT1082" s="85"/>
      <c r="AU1082" s="85"/>
      <c r="AV1082" s="85"/>
      <c r="AW1082" s="85"/>
      <c r="AX1082" s="85"/>
      <c r="AY1082" s="85"/>
      <c r="AZ1082" s="85"/>
      <c r="BA1082" s="85"/>
      <c r="BB1082" s="85"/>
      <c r="BC1082" s="85"/>
      <c r="BD1082" s="85"/>
      <c r="BE1082" s="85"/>
    </row>
    <row r="1083" spans="1:57" s="94" customFormat="1" x14ac:dyDescent="0.25">
      <c r="A1083" s="105" t="s">
        <v>2773</v>
      </c>
      <c r="B1083" s="139" t="s">
        <v>2816</v>
      </c>
      <c r="C1083" s="110" t="s">
        <v>873</v>
      </c>
      <c r="D1083" s="153" t="s">
        <v>731</v>
      </c>
      <c r="E1083" s="101">
        <f>58+21/60+13.03/3600</f>
        <v>58.353619444444448</v>
      </c>
      <c r="F1083" s="101">
        <f>11+13/60+4.26/3600</f>
        <v>11.21785</v>
      </c>
      <c r="G1083" s="81"/>
      <c r="H1083" s="105" t="s">
        <v>150</v>
      </c>
      <c r="I1083" s="105" t="s">
        <v>8</v>
      </c>
      <c r="J1083" s="105" t="s">
        <v>8</v>
      </c>
      <c r="K1083" s="105" t="s">
        <v>6</v>
      </c>
      <c r="L1083" s="105" t="s">
        <v>2030</v>
      </c>
      <c r="M1083" s="105" t="s">
        <v>2653</v>
      </c>
      <c r="N1083" s="106" t="s">
        <v>1110</v>
      </c>
      <c r="O1083" s="104"/>
      <c r="P1083" s="106" t="s">
        <v>160</v>
      </c>
      <c r="Q1083" s="107" t="s">
        <v>1183</v>
      </c>
      <c r="R1083" s="107" t="s">
        <v>1622</v>
      </c>
      <c r="S1083" s="108" t="s">
        <v>160</v>
      </c>
      <c r="T1083" s="108" t="s">
        <v>160</v>
      </c>
      <c r="U1083" s="106">
        <v>1</v>
      </c>
      <c r="V1083" s="103" t="s">
        <v>160</v>
      </c>
      <c r="W1083" s="103" t="s">
        <v>160</v>
      </c>
      <c r="X1083" s="103"/>
      <c r="Y1083" s="103"/>
      <c r="Z1083" s="103"/>
      <c r="AA1083" s="103"/>
      <c r="AB1083" s="103"/>
      <c r="AC1083" s="103"/>
      <c r="AD1083" s="103"/>
      <c r="AE1083" s="103"/>
      <c r="AF1083" s="103"/>
      <c r="AG1083" s="103"/>
      <c r="AH1083" s="103"/>
      <c r="AI1083" s="103"/>
      <c r="AJ1083" s="103"/>
      <c r="AK1083" s="103"/>
      <c r="AL1083" s="103"/>
      <c r="AM1083" s="103"/>
      <c r="AN1083" s="103"/>
      <c r="AO1083" s="103"/>
      <c r="AP1083" s="103"/>
      <c r="AQ1083" s="103"/>
      <c r="AR1083" s="103"/>
      <c r="AS1083" s="103"/>
      <c r="AT1083" s="103"/>
      <c r="AU1083" s="103"/>
      <c r="AV1083" s="103"/>
      <c r="AW1083" s="103"/>
      <c r="AX1083" s="103"/>
      <c r="AY1083" s="103"/>
      <c r="AZ1083" s="103"/>
      <c r="BA1083" s="103"/>
      <c r="BB1083" s="103"/>
      <c r="BC1083" s="103"/>
      <c r="BD1083" s="103"/>
      <c r="BE1083" s="103"/>
    </row>
    <row r="1084" spans="1:57" x14ac:dyDescent="0.25">
      <c r="A1084" s="7" t="s">
        <v>8</v>
      </c>
      <c r="B1084" s="142" t="s">
        <v>3010</v>
      </c>
      <c r="C1084" s="23" t="s">
        <v>873</v>
      </c>
      <c r="D1084" t="s">
        <v>731</v>
      </c>
      <c r="E1084" s="193">
        <v>58.353700000000003</v>
      </c>
      <c r="F1084" s="193">
        <v>11.2178</v>
      </c>
      <c r="G1084" s="43"/>
      <c r="H1084" s="7" t="s">
        <v>150</v>
      </c>
      <c r="I1084" s="7" t="s">
        <v>8</v>
      </c>
      <c r="J1084" s="7" t="s">
        <v>8</v>
      </c>
      <c r="K1084" s="7" t="s">
        <v>6</v>
      </c>
      <c r="L1084" s="7" t="s">
        <v>2030</v>
      </c>
      <c r="M1084" s="7" t="s">
        <v>2653</v>
      </c>
      <c r="N1084" s="42" t="s">
        <v>1110</v>
      </c>
      <c r="O1084" s="22"/>
      <c r="P1084" s="42" t="s">
        <v>160</v>
      </c>
      <c r="Q1084" s="44" t="s">
        <v>1183</v>
      </c>
      <c r="R1084" s="44" t="s">
        <v>1622</v>
      </c>
      <c r="S1084" s="19" t="s">
        <v>160</v>
      </c>
      <c r="T1084" s="19" t="s">
        <v>160</v>
      </c>
      <c r="U1084" s="42">
        <v>1</v>
      </c>
      <c r="V1084" s="20" t="s">
        <v>160</v>
      </c>
      <c r="W1084" s="20" t="s">
        <v>160</v>
      </c>
      <c r="X1084" s="20"/>
      <c r="Y1084" s="20"/>
      <c r="Z1084" s="20"/>
      <c r="AA1084" s="20"/>
      <c r="AB1084" s="20"/>
      <c r="AC1084" s="20"/>
      <c r="AD1084" s="20"/>
      <c r="AE1084" s="20"/>
      <c r="AF1084" s="20"/>
      <c r="AG1084" s="20"/>
      <c r="AH1084" s="20"/>
      <c r="AI1084" s="20"/>
      <c r="AJ1084" s="20"/>
      <c r="AK1084" s="20"/>
      <c r="AL1084" s="20"/>
      <c r="AM1084" s="20"/>
      <c r="AN1084" s="20"/>
      <c r="AO1084" s="20"/>
      <c r="AP1084" s="20"/>
      <c r="AQ1084" s="20"/>
      <c r="AR1084" s="20"/>
      <c r="AS1084" s="20"/>
      <c r="AT1084" s="20"/>
      <c r="AU1084" s="20"/>
      <c r="AV1084" s="20"/>
      <c r="AW1084" s="20"/>
      <c r="AX1084" s="20"/>
      <c r="AY1084" s="20"/>
      <c r="AZ1084" s="20"/>
      <c r="BA1084" s="20"/>
      <c r="BB1084" s="20"/>
      <c r="BC1084" s="20"/>
      <c r="BD1084" s="20"/>
      <c r="BE1084" s="20"/>
    </row>
    <row r="1085" spans="1:57" x14ac:dyDescent="0.25">
      <c r="A1085" s="9" t="s">
        <v>706</v>
      </c>
      <c r="B1085" s="140">
        <v>154</v>
      </c>
      <c r="C1085" s="23" t="s">
        <v>873</v>
      </c>
      <c r="D1085" s="62" t="s">
        <v>106</v>
      </c>
      <c r="E1085" s="5">
        <f>58+21/60+13/3600</f>
        <v>58.353611111111114</v>
      </c>
      <c r="F1085" s="5">
        <f>11+13/60+4/3600</f>
        <v>11.217777777777778</v>
      </c>
      <c r="G1085" s="43"/>
      <c r="H1085" s="9" t="s">
        <v>150</v>
      </c>
      <c r="I1085" s="7" t="s">
        <v>8</v>
      </c>
      <c r="J1085" s="7" t="s">
        <v>8</v>
      </c>
      <c r="K1085" s="9" t="s">
        <v>6</v>
      </c>
      <c r="L1085" s="7" t="s">
        <v>2030</v>
      </c>
      <c r="M1085" s="7" t="s">
        <v>2653</v>
      </c>
      <c r="N1085" s="42" t="s">
        <v>1110</v>
      </c>
      <c r="O1085" s="22"/>
      <c r="P1085" s="42" t="s">
        <v>160</v>
      </c>
      <c r="Q1085" s="44" t="s">
        <v>1183</v>
      </c>
      <c r="R1085" s="44" t="s">
        <v>1622</v>
      </c>
      <c r="S1085" s="19" t="s">
        <v>160</v>
      </c>
      <c r="T1085" s="19" t="s">
        <v>160</v>
      </c>
      <c r="U1085" s="19">
        <v>1</v>
      </c>
      <c r="V1085" s="19" t="s">
        <v>160</v>
      </c>
      <c r="W1085" s="19" t="s">
        <v>160</v>
      </c>
      <c r="BB1085" s="19"/>
      <c r="BC1085" s="19"/>
      <c r="BD1085" s="19"/>
      <c r="BE1085" s="19"/>
    </row>
    <row r="1086" spans="1:57" x14ac:dyDescent="0.25">
      <c r="A1086" s="6" t="s">
        <v>8</v>
      </c>
      <c r="B1086" s="9">
        <v>81220</v>
      </c>
      <c r="C1086" s="9" t="s">
        <v>2288</v>
      </c>
      <c r="D1086" s="9" t="s">
        <v>731</v>
      </c>
      <c r="E1086" s="3">
        <v>58.357100000000003</v>
      </c>
      <c r="F1086" s="3">
        <v>11.227600000000001</v>
      </c>
      <c r="G1086" s="9">
        <v>20</v>
      </c>
      <c r="H1086" s="9" t="s">
        <v>150</v>
      </c>
      <c r="I1086" s="6" t="s">
        <v>8</v>
      </c>
      <c r="J1086" s="21" t="s">
        <v>8</v>
      </c>
      <c r="K1086" s="3" t="s">
        <v>5</v>
      </c>
      <c r="L1086" s="5" t="s">
        <v>2681</v>
      </c>
      <c r="M1086" s="7" t="s">
        <v>717</v>
      </c>
      <c r="N1086" s="19" t="s">
        <v>2531</v>
      </c>
      <c r="O1086" s="22"/>
      <c r="P1086" s="19" t="s">
        <v>160</v>
      </c>
      <c r="AR1086" s="19" t="s">
        <v>160</v>
      </c>
      <c r="AT1086" s="19" t="s">
        <v>160</v>
      </c>
      <c r="AX1086" s="19" t="s">
        <v>160</v>
      </c>
      <c r="AZ1086" s="19" t="s">
        <v>160</v>
      </c>
      <c r="BB1086" s="19"/>
      <c r="BC1086" s="19"/>
      <c r="BD1086" s="19"/>
      <c r="BE1086" s="19"/>
    </row>
    <row r="1087" spans="1:57" x14ac:dyDescent="0.25">
      <c r="A1087" s="6" t="s">
        <v>8</v>
      </c>
      <c r="B1087" s="9">
        <v>53200</v>
      </c>
      <c r="C1087" s="9" t="s">
        <v>2413</v>
      </c>
      <c r="D1087" s="9" t="s">
        <v>1517</v>
      </c>
      <c r="E1087" s="3">
        <v>55.337600000000002</v>
      </c>
      <c r="F1087" s="3">
        <v>13.356299999999999</v>
      </c>
      <c r="G1087" s="9">
        <v>5</v>
      </c>
      <c r="H1087" s="9" t="s">
        <v>150</v>
      </c>
      <c r="I1087" s="6" t="s">
        <v>8</v>
      </c>
      <c r="J1087" s="21" t="s">
        <v>8</v>
      </c>
      <c r="K1087" s="3" t="s">
        <v>5</v>
      </c>
      <c r="L1087" s="5" t="s">
        <v>2680</v>
      </c>
      <c r="M1087" s="7" t="s">
        <v>717</v>
      </c>
      <c r="N1087" s="19" t="s">
        <v>2532</v>
      </c>
      <c r="O1087" s="22"/>
      <c r="P1087" s="19" t="s">
        <v>160</v>
      </c>
      <c r="AR1087" s="19" t="s">
        <v>160</v>
      </c>
      <c r="AT1087" s="19" t="s">
        <v>160</v>
      </c>
      <c r="AV1087" s="19" t="s">
        <v>160</v>
      </c>
      <c r="AX1087" s="19" t="s">
        <v>160</v>
      </c>
      <c r="AZ1087" s="19" t="s">
        <v>160</v>
      </c>
      <c r="BB1087" s="19"/>
      <c r="BC1087" s="19"/>
      <c r="BD1087" s="19"/>
      <c r="BE1087" s="19"/>
    </row>
    <row r="1088" spans="1:57" x14ac:dyDescent="0.25">
      <c r="A1088" s="6" t="s">
        <v>8</v>
      </c>
      <c r="B1088" s="9">
        <v>99450</v>
      </c>
      <c r="C1088" s="9" t="s">
        <v>2021</v>
      </c>
      <c r="D1088" s="9" t="s">
        <v>2023</v>
      </c>
      <c r="E1088" s="3">
        <v>59.753399999999999</v>
      </c>
      <c r="F1088" s="3">
        <v>19.4087</v>
      </c>
      <c r="G1088" s="9">
        <v>5</v>
      </c>
      <c r="H1088" s="3" t="s">
        <v>150</v>
      </c>
      <c r="I1088" s="6" t="s">
        <v>8</v>
      </c>
      <c r="J1088" s="21" t="s">
        <v>8</v>
      </c>
      <c r="K1088" s="3" t="s">
        <v>5</v>
      </c>
      <c r="L1088" s="5" t="s">
        <v>174</v>
      </c>
      <c r="M1088" s="5" t="s">
        <v>717</v>
      </c>
      <c r="N1088" s="19" t="s">
        <v>2593</v>
      </c>
      <c r="O1088" s="22"/>
      <c r="P1088" s="19" t="s">
        <v>160</v>
      </c>
      <c r="V1088" s="29"/>
      <c r="W1088" s="29"/>
      <c r="X1088" s="29"/>
      <c r="Y1088" s="29"/>
      <c r="Z1088" s="29"/>
      <c r="AA1088" s="29"/>
      <c r="AB1088" s="29"/>
      <c r="AC1088" s="29"/>
      <c r="AD1088" s="29"/>
      <c r="AE1088" s="29"/>
      <c r="AF1088" s="29"/>
      <c r="AG1088" s="29"/>
      <c r="AH1088" s="29"/>
      <c r="AI1088" s="29"/>
      <c r="AJ1088" s="29"/>
      <c r="AK1088" s="29"/>
      <c r="AL1088" s="29"/>
      <c r="AM1088" s="29"/>
      <c r="AN1088" s="29"/>
      <c r="AO1088" s="29"/>
      <c r="AP1088" s="29"/>
      <c r="AQ1088" s="29"/>
      <c r="AR1088" s="29"/>
      <c r="AS1088" s="29"/>
      <c r="AT1088" s="29"/>
      <c r="AU1088" s="29"/>
      <c r="AV1088" s="29" t="s">
        <v>160</v>
      </c>
      <c r="BB1088" s="19"/>
      <c r="BC1088" s="19"/>
      <c r="BD1088" s="19"/>
      <c r="BE1088" s="19"/>
    </row>
    <row r="1089" spans="1:57" s="94" customFormat="1" x14ac:dyDescent="0.25">
      <c r="A1089" s="9" t="s">
        <v>707</v>
      </c>
      <c r="B1089" s="39" t="s">
        <v>610</v>
      </c>
      <c r="C1089" s="39" t="s">
        <v>943</v>
      </c>
      <c r="D1089" s="40" t="s">
        <v>611</v>
      </c>
      <c r="E1089" s="46" t="s">
        <v>613</v>
      </c>
      <c r="F1089" s="46" t="s">
        <v>612</v>
      </c>
      <c r="G1089" s="40"/>
      <c r="H1089" s="9" t="s">
        <v>150</v>
      </c>
      <c r="I1089" s="41" t="s">
        <v>8</v>
      </c>
      <c r="J1089" s="41" t="s">
        <v>8</v>
      </c>
      <c r="K1089" s="40" t="s">
        <v>5</v>
      </c>
      <c r="L1089" s="41" t="s">
        <v>2043</v>
      </c>
      <c r="M1089" s="7" t="s">
        <v>2653</v>
      </c>
      <c r="N1089" s="19" t="s">
        <v>2385</v>
      </c>
      <c r="O1089" s="22"/>
      <c r="P1089" s="19" t="s">
        <v>160</v>
      </c>
      <c r="Q1089" s="19"/>
      <c r="R1089" s="19"/>
      <c r="S1089" s="19"/>
      <c r="T1089" s="19"/>
      <c r="U1089" s="19"/>
      <c r="V1089" s="42"/>
      <c r="W1089" s="42"/>
      <c r="X1089" s="42"/>
      <c r="Y1089" s="42"/>
      <c r="Z1089" s="42"/>
      <c r="AA1089" s="42"/>
      <c r="AB1089" s="42"/>
      <c r="AC1089" s="42"/>
      <c r="AD1089" s="42"/>
      <c r="AE1089" s="42"/>
      <c r="AF1089" s="42"/>
      <c r="AG1089" s="42"/>
      <c r="AH1089" s="42"/>
      <c r="AI1089" s="42"/>
      <c r="AJ1089" s="42"/>
      <c r="AK1089" s="42"/>
      <c r="AL1089" s="42"/>
      <c r="AM1089" s="42"/>
      <c r="AN1089" s="42"/>
      <c r="AO1089" s="42"/>
      <c r="AP1089" s="42"/>
      <c r="AQ1089" s="42"/>
      <c r="AR1089" s="42" t="s">
        <v>160</v>
      </c>
      <c r="AS1089" s="42" t="s">
        <v>160</v>
      </c>
      <c r="AT1089" s="19"/>
      <c r="AU1089" s="19"/>
      <c r="AV1089" s="19"/>
      <c r="AW1089" s="19"/>
      <c r="AX1089" s="19"/>
      <c r="AY1089" s="19"/>
      <c r="AZ1089" s="42"/>
      <c r="BA1089" s="42"/>
      <c r="BB1089" s="42"/>
      <c r="BC1089" s="42"/>
      <c r="BD1089" s="42"/>
      <c r="BE1089" s="42"/>
    </row>
    <row r="1090" spans="1:57" x14ac:dyDescent="0.25">
      <c r="A1090" s="114" t="s">
        <v>2773</v>
      </c>
      <c r="B1090" s="94" t="s">
        <v>3011</v>
      </c>
      <c r="C1090" s="94" t="s">
        <v>943</v>
      </c>
      <c r="D1090" s="163" t="s">
        <v>944</v>
      </c>
      <c r="E1090" s="83">
        <f>59+45/60+11.16/3600</f>
        <v>59.753100000000003</v>
      </c>
      <c r="F1090" s="82">
        <f>19+24/60+19.44/3600</f>
        <v>19.4054</v>
      </c>
      <c r="G1090" s="94">
        <v>14.006</v>
      </c>
      <c r="H1090" s="94" t="s">
        <v>150</v>
      </c>
      <c r="I1090" s="122" t="s">
        <v>8</v>
      </c>
      <c r="J1090" s="122" t="s">
        <v>8</v>
      </c>
      <c r="K1090" s="82" t="s">
        <v>5</v>
      </c>
      <c r="L1090" s="93" t="s">
        <v>2681</v>
      </c>
      <c r="M1090" s="105" t="s">
        <v>2653</v>
      </c>
      <c r="N1090" s="108" t="s">
        <v>2385</v>
      </c>
      <c r="O1090" s="104"/>
      <c r="P1090" s="108" t="s">
        <v>160</v>
      </c>
      <c r="Q1090" s="108"/>
      <c r="R1090" s="108"/>
      <c r="S1090" s="108"/>
      <c r="T1090" s="108"/>
      <c r="U1090" s="108"/>
      <c r="V1090" s="108"/>
      <c r="W1090" s="108"/>
      <c r="X1090" s="108"/>
      <c r="Y1090" s="108"/>
      <c r="Z1090" s="108"/>
      <c r="AA1090" s="108"/>
      <c r="AB1090" s="108"/>
      <c r="AC1090" s="108"/>
      <c r="AD1090" s="108"/>
      <c r="AE1090" s="108"/>
      <c r="AF1090" s="108"/>
      <c r="AG1090" s="108"/>
      <c r="AH1090" s="108"/>
      <c r="AI1090" s="108"/>
      <c r="AJ1090" s="108"/>
      <c r="AK1090" s="108"/>
      <c r="AL1090" s="108"/>
      <c r="AM1090" s="108"/>
      <c r="AN1090" s="108"/>
      <c r="AO1090" s="108"/>
      <c r="AP1090" s="108"/>
      <c r="AQ1090" s="108"/>
      <c r="AR1090" s="108" t="s">
        <v>160</v>
      </c>
      <c r="AS1090" s="108" t="s">
        <v>160</v>
      </c>
      <c r="AT1090" s="108" t="s">
        <v>160</v>
      </c>
      <c r="AU1090" s="108" t="s">
        <v>160</v>
      </c>
      <c r="AV1090" s="108"/>
      <c r="AW1090" s="108"/>
      <c r="AX1090" s="108" t="s">
        <v>160</v>
      </c>
      <c r="AY1090" s="108" t="s">
        <v>160</v>
      </c>
      <c r="AZ1090" s="108" t="s">
        <v>160</v>
      </c>
      <c r="BA1090" s="108" t="s">
        <v>160</v>
      </c>
      <c r="BB1090" s="108"/>
      <c r="BC1090" s="108"/>
      <c r="BD1090" s="108"/>
      <c r="BE1090" s="108"/>
    </row>
    <row r="1091" spans="1:57" x14ac:dyDescent="0.25">
      <c r="A1091" s="6" t="s">
        <v>8</v>
      </c>
      <c r="B1091" s="9">
        <v>99450</v>
      </c>
      <c r="C1091" s="9" t="s">
        <v>943</v>
      </c>
      <c r="D1091" s="9" t="s">
        <v>944</v>
      </c>
      <c r="E1091" s="52">
        <f>59+45/60+11.16/3600</f>
        <v>59.753100000000003</v>
      </c>
      <c r="F1091" s="3">
        <f>19+24/60+19.44/3600</f>
        <v>19.4054</v>
      </c>
      <c r="G1091" s="9">
        <v>14.006</v>
      </c>
      <c r="H1091" s="9" t="s">
        <v>150</v>
      </c>
      <c r="I1091" s="21" t="s">
        <v>8</v>
      </c>
      <c r="J1091" s="21" t="s">
        <v>8</v>
      </c>
      <c r="K1091" s="3" t="s">
        <v>5</v>
      </c>
      <c r="L1091" s="5" t="s">
        <v>2681</v>
      </c>
      <c r="M1091" s="7" t="s">
        <v>2653</v>
      </c>
      <c r="N1091" s="19" t="s">
        <v>2385</v>
      </c>
      <c r="O1091" s="22"/>
      <c r="P1091" s="19" t="s">
        <v>160</v>
      </c>
      <c r="AR1091" s="19" t="s">
        <v>160</v>
      </c>
      <c r="AS1091" s="19" t="s">
        <v>160</v>
      </c>
      <c r="AT1091" s="19" t="s">
        <v>160</v>
      </c>
      <c r="AU1091" s="19" t="s">
        <v>160</v>
      </c>
      <c r="AX1091" s="19" t="s">
        <v>160</v>
      </c>
      <c r="AY1091" s="19" t="s">
        <v>160</v>
      </c>
      <c r="AZ1091" s="19" t="s">
        <v>160</v>
      </c>
      <c r="BA1091" s="19" t="s">
        <v>160</v>
      </c>
      <c r="BB1091" s="19"/>
      <c r="BC1091" s="19"/>
      <c r="BD1091" s="19"/>
      <c r="BE1091" s="19"/>
    </row>
    <row r="1092" spans="1:57" x14ac:dyDescent="0.25">
      <c r="A1092" s="9" t="s">
        <v>706</v>
      </c>
      <c r="B1092" s="38">
        <v>166</v>
      </c>
      <c r="C1092" s="39" t="s">
        <v>943</v>
      </c>
      <c r="D1092" s="88" t="s">
        <v>121</v>
      </c>
      <c r="E1092" s="3">
        <f>59+45/60+11/3600</f>
        <v>59.753055555555555</v>
      </c>
      <c r="F1092" s="3">
        <f>19+24/60+19/3600</f>
        <v>19.405277777777776</v>
      </c>
      <c r="G1092" s="40"/>
      <c r="H1092" s="9" t="s">
        <v>150</v>
      </c>
      <c r="I1092" s="7" t="s">
        <v>8</v>
      </c>
      <c r="J1092" s="7" t="s">
        <v>8</v>
      </c>
      <c r="K1092" s="9" t="s">
        <v>5</v>
      </c>
      <c r="L1092" s="7" t="s">
        <v>2693</v>
      </c>
      <c r="M1092" s="7" t="s">
        <v>2653</v>
      </c>
      <c r="N1092" s="19" t="s">
        <v>2385</v>
      </c>
      <c r="O1092" s="22"/>
      <c r="P1092" s="19" t="s">
        <v>160</v>
      </c>
      <c r="AR1092" s="19" t="s">
        <v>160</v>
      </c>
      <c r="AS1092" s="19" t="s">
        <v>160</v>
      </c>
      <c r="AT1092" s="19" t="s">
        <v>160</v>
      </c>
      <c r="AU1092" s="19" t="s">
        <v>160</v>
      </c>
      <c r="AX1092" s="19" t="s">
        <v>160</v>
      </c>
      <c r="AY1092" s="19" t="s">
        <v>160</v>
      </c>
      <c r="BB1092" s="19"/>
      <c r="BC1092" s="19"/>
      <c r="BD1092" s="19"/>
      <c r="BE1092" s="19"/>
    </row>
    <row r="1093" spans="1:57" s="94" customFormat="1" x14ac:dyDescent="0.25">
      <c r="A1093" s="98" t="s">
        <v>2773</v>
      </c>
      <c r="B1093" s="135">
        <v>2064</v>
      </c>
      <c r="C1093" s="98" t="s">
        <v>1254</v>
      </c>
      <c r="D1093" s="98" t="s">
        <v>1211</v>
      </c>
      <c r="E1093" s="189">
        <f>61+18/60+36/3600</f>
        <v>61.309999999999995</v>
      </c>
      <c r="F1093" s="189">
        <f>17+4/60+48/3600</f>
        <v>17.079999999999998</v>
      </c>
      <c r="G1093" s="101"/>
      <c r="H1093" s="98" t="s">
        <v>150</v>
      </c>
      <c r="I1093" s="98" t="s">
        <v>8</v>
      </c>
      <c r="J1093" s="102" t="s">
        <v>8</v>
      </c>
      <c r="K1093" s="98" t="s">
        <v>6</v>
      </c>
      <c r="L1093" s="102" t="s">
        <v>2030</v>
      </c>
      <c r="M1093" s="102" t="s">
        <v>717</v>
      </c>
      <c r="N1093" s="104" t="s">
        <v>1285</v>
      </c>
      <c r="O1093" s="104"/>
      <c r="P1093" s="104"/>
      <c r="Q1093" s="103" t="s">
        <v>1661</v>
      </c>
      <c r="R1093" s="103"/>
      <c r="S1093" s="103"/>
      <c r="T1093" s="103"/>
      <c r="U1093" s="104">
        <v>4</v>
      </c>
      <c r="V1093" s="103" t="s">
        <v>160</v>
      </c>
      <c r="W1093" s="103"/>
      <c r="X1093" s="103"/>
      <c r="Y1093" s="103"/>
      <c r="Z1093" s="103"/>
      <c r="AA1093" s="103"/>
      <c r="AB1093" s="103"/>
      <c r="AC1093" s="103"/>
      <c r="AD1093" s="103"/>
      <c r="AE1093" s="103"/>
      <c r="AF1093" s="103"/>
      <c r="AG1093" s="103"/>
      <c r="AH1093" s="103"/>
      <c r="AI1093" s="103"/>
      <c r="AJ1093" s="103"/>
      <c r="AK1093" s="103"/>
      <c r="AL1093" s="103"/>
      <c r="AM1093" s="103"/>
      <c r="AN1093" s="103"/>
      <c r="AO1093" s="103"/>
      <c r="AP1093" s="103"/>
      <c r="AQ1093" s="103"/>
      <c r="AR1093" s="103"/>
      <c r="AS1093" s="103"/>
      <c r="AT1093" s="103"/>
      <c r="AU1093" s="103"/>
      <c r="AV1093" s="103"/>
      <c r="AW1093" s="103"/>
      <c r="AX1093" s="103"/>
      <c r="AY1093" s="103"/>
      <c r="AZ1093" s="103"/>
      <c r="BA1093" s="103"/>
      <c r="BB1093" s="103"/>
      <c r="BC1093" s="103"/>
      <c r="BD1093" s="103"/>
      <c r="BE1093" s="103"/>
    </row>
    <row r="1094" spans="1:57" x14ac:dyDescent="0.25">
      <c r="A1094" s="10" t="s">
        <v>8</v>
      </c>
      <c r="B1094" s="155">
        <v>2064</v>
      </c>
      <c r="C1094" s="10" t="s">
        <v>1254</v>
      </c>
      <c r="D1094" s="10" t="s">
        <v>1211</v>
      </c>
      <c r="E1094" s="195">
        <v>61.31</v>
      </c>
      <c r="F1094" s="195">
        <v>17.079999999999998</v>
      </c>
      <c r="G1094" s="30"/>
      <c r="H1094" s="10" t="s">
        <v>150</v>
      </c>
      <c r="I1094" s="10" t="s">
        <v>8</v>
      </c>
      <c r="J1094" s="24" t="s">
        <v>8</v>
      </c>
      <c r="K1094" s="10" t="s">
        <v>6</v>
      </c>
      <c r="L1094" s="24" t="s">
        <v>2030</v>
      </c>
      <c r="M1094" s="24" t="s">
        <v>717</v>
      </c>
      <c r="N1094" s="22" t="s">
        <v>1285</v>
      </c>
      <c r="O1094" s="22"/>
      <c r="P1094" s="22"/>
      <c r="Q1094" s="20" t="s">
        <v>1661</v>
      </c>
      <c r="R1094" s="20"/>
      <c r="S1094" s="20"/>
      <c r="T1094" s="20"/>
      <c r="U1094" s="22">
        <v>4</v>
      </c>
      <c r="V1094" s="20" t="s">
        <v>160</v>
      </c>
      <c r="W1094" s="20"/>
      <c r="X1094" s="20"/>
      <c r="Y1094" s="20"/>
      <c r="Z1094" s="20"/>
      <c r="AA1094" s="20"/>
      <c r="AB1094" s="20"/>
      <c r="AC1094" s="20"/>
      <c r="AD1094" s="20"/>
      <c r="AE1094" s="20"/>
      <c r="AF1094" s="20"/>
      <c r="AG1094" s="20"/>
      <c r="AH1094" s="20"/>
      <c r="AI1094" s="20"/>
      <c r="AJ1094" s="20"/>
      <c r="AK1094" s="20"/>
      <c r="AL1094" s="20"/>
      <c r="AM1094" s="20"/>
      <c r="AN1094" s="20"/>
      <c r="AO1094" s="20"/>
      <c r="AP1094" s="20"/>
      <c r="AQ1094" s="20"/>
      <c r="AR1094" s="20"/>
      <c r="AS1094" s="20"/>
      <c r="AT1094" s="20"/>
      <c r="AU1094" s="20"/>
      <c r="AV1094" s="20"/>
      <c r="AW1094" s="20"/>
      <c r="AX1094" s="20"/>
      <c r="AY1094" s="20"/>
      <c r="AZ1094" s="20"/>
      <c r="BA1094" s="20"/>
      <c r="BB1094" s="20"/>
      <c r="BC1094" s="20"/>
      <c r="BD1094" s="20"/>
      <c r="BE1094" s="20"/>
    </row>
    <row r="1095" spans="1:57" x14ac:dyDescent="0.25">
      <c r="A1095" s="6" t="s">
        <v>8</v>
      </c>
      <c r="B1095" s="9">
        <v>117160</v>
      </c>
      <c r="C1095" s="9" t="s">
        <v>1518</v>
      </c>
      <c r="D1095" s="9" t="s">
        <v>1519</v>
      </c>
      <c r="E1095" s="3">
        <v>61.269100000000002</v>
      </c>
      <c r="F1095" s="3">
        <v>17.098299999999998</v>
      </c>
      <c r="G1095" s="9">
        <v>26</v>
      </c>
      <c r="H1095" s="9" t="s">
        <v>150</v>
      </c>
      <c r="I1095" s="6" t="s">
        <v>8</v>
      </c>
      <c r="J1095" s="21" t="s">
        <v>8</v>
      </c>
      <c r="K1095" s="3" t="s">
        <v>5</v>
      </c>
      <c r="L1095" s="5" t="s">
        <v>2680</v>
      </c>
      <c r="M1095" s="7" t="s">
        <v>717</v>
      </c>
      <c r="N1095" s="19" t="s">
        <v>2533</v>
      </c>
      <c r="O1095" s="22"/>
      <c r="P1095" s="19" t="s">
        <v>160</v>
      </c>
      <c r="AR1095" s="19" t="s">
        <v>160</v>
      </c>
      <c r="AT1095" s="19" t="s">
        <v>160</v>
      </c>
      <c r="AV1095" s="19" t="s">
        <v>160</v>
      </c>
      <c r="AX1095" s="19" t="s">
        <v>160</v>
      </c>
      <c r="AZ1095" s="19" t="s">
        <v>160</v>
      </c>
      <c r="BB1095" s="19"/>
      <c r="BC1095" s="19"/>
      <c r="BD1095" s="19"/>
      <c r="BE1095" s="19"/>
    </row>
    <row r="1096" spans="1:57" s="94" customFormat="1" x14ac:dyDescent="0.25">
      <c r="A1096" s="9" t="s">
        <v>707</v>
      </c>
      <c r="B1096" s="39" t="s">
        <v>614</v>
      </c>
      <c r="C1096" s="39" t="s">
        <v>926</v>
      </c>
      <c r="D1096" s="40" t="s">
        <v>615</v>
      </c>
      <c r="E1096" s="46" t="s">
        <v>2160</v>
      </c>
      <c r="F1096" s="46" t="s">
        <v>2161</v>
      </c>
      <c r="G1096" s="40"/>
      <c r="H1096" s="9" t="s">
        <v>150</v>
      </c>
      <c r="I1096" s="41" t="s">
        <v>169</v>
      </c>
      <c r="J1096" s="41" t="s">
        <v>169</v>
      </c>
      <c r="K1096" s="40" t="s">
        <v>5</v>
      </c>
      <c r="L1096" s="41" t="s">
        <v>2043</v>
      </c>
      <c r="M1096" s="7" t="s">
        <v>2653</v>
      </c>
      <c r="N1096" s="19"/>
      <c r="O1096" s="19"/>
      <c r="P1096" s="19"/>
      <c r="Q1096" s="19"/>
      <c r="R1096" s="19"/>
      <c r="S1096" s="19"/>
      <c r="T1096" s="19"/>
      <c r="U1096" s="19"/>
      <c r="V1096" s="42"/>
      <c r="W1096" s="42"/>
      <c r="X1096" s="42"/>
      <c r="Y1096" s="42"/>
      <c r="Z1096" s="42"/>
      <c r="AA1096" s="42"/>
      <c r="AB1096" s="42"/>
      <c r="AC1096" s="42"/>
      <c r="AD1096" s="42"/>
      <c r="AE1096" s="42"/>
      <c r="AF1096" s="42"/>
      <c r="AG1096" s="42"/>
      <c r="AH1096" s="42"/>
      <c r="AI1096" s="42"/>
      <c r="AJ1096" s="42"/>
      <c r="AK1096" s="42"/>
      <c r="AL1096" s="42"/>
      <c r="AM1096" s="42"/>
      <c r="AN1096" s="42"/>
      <c r="AO1096" s="42"/>
      <c r="AP1096" s="42"/>
      <c r="AQ1096" s="42"/>
      <c r="AR1096" s="42" t="s">
        <v>160</v>
      </c>
      <c r="AS1096" s="42" t="s">
        <v>160</v>
      </c>
      <c r="AT1096" s="19"/>
      <c r="AU1096" s="19"/>
      <c r="AV1096" s="19"/>
      <c r="AW1096" s="19"/>
      <c r="AX1096" s="19"/>
      <c r="AY1096" s="19"/>
      <c r="AZ1096" s="42"/>
      <c r="BA1096" s="42"/>
      <c r="BB1096" s="42"/>
      <c r="BC1096" s="42"/>
      <c r="BD1096" s="42"/>
      <c r="BE1096" s="42"/>
    </row>
    <row r="1097" spans="1:57" x14ac:dyDescent="0.25">
      <c r="A1097" s="114" t="s">
        <v>2773</v>
      </c>
      <c r="B1097" s="110" t="s">
        <v>3012</v>
      </c>
      <c r="C1097" s="115" t="s">
        <v>926</v>
      </c>
      <c r="D1097" s="153" t="s">
        <v>122</v>
      </c>
      <c r="E1097" s="120">
        <f>59+11/60+24/3600</f>
        <v>59.19</v>
      </c>
      <c r="F1097" s="120">
        <f>17+37/60+48/3600</f>
        <v>17.63</v>
      </c>
      <c r="G1097" s="93"/>
      <c r="H1097" s="94" t="s">
        <v>150</v>
      </c>
      <c r="I1097" s="102" t="s">
        <v>169</v>
      </c>
      <c r="J1097" s="102" t="s">
        <v>169</v>
      </c>
      <c r="K1097" s="102" t="s">
        <v>5</v>
      </c>
      <c r="L1097" s="102" t="s">
        <v>2043</v>
      </c>
      <c r="M1097" s="105" t="s">
        <v>2653</v>
      </c>
      <c r="N1097" s="108"/>
      <c r="O1097" s="108"/>
      <c r="P1097" s="108"/>
      <c r="Q1097" s="108"/>
      <c r="R1097" s="108"/>
      <c r="S1097" s="108"/>
      <c r="T1097" s="108"/>
      <c r="U1097" s="108"/>
      <c r="V1097" s="108"/>
      <c r="W1097" s="108"/>
      <c r="X1097" s="108"/>
      <c r="Y1097" s="108"/>
      <c r="Z1097" s="108"/>
      <c r="AA1097" s="108"/>
      <c r="AB1097" s="108"/>
      <c r="AC1097" s="108"/>
      <c r="AD1097" s="108"/>
      <c r="AE1097" s="108"/>
      <c r="AF1097" s="108"/>
      <c r="AG1097" s="108"/>
      <c r="AH1097" s="108"/>
      <c r="AI1097" s="108"/>
      <c r="AJ1097" s="108"/>
      <c r="AK1097" s="108"/>
      <c r="AL1097" s="108"/>
      <c r="AM1097" s="108"/>
      <c r="AN1097" s="108"/>
      <c r="AO1097" s="108"/>
      <c r="AP1097" s="108"/>
      <c r="AQ1097" s="108"/>
      <c r="AR1097" s="108" t="s">
        <v>160</v>
      </c>
      <c r="AS1097" s="108" t="s">
        <v>160</v>
      </c>
      <c r="AT1097" s="108"/>
      <c r="AU1097" s="108"/>
      <c r="AV1097" s="108"/>
      <c r="AW1097" s="108"/>
      <c r="AX1097" s="108"/>
      <c r="AY1097" s="108"/>
      <c r="AZ1097" s="108"/>
      <c r="BA1097" s="108"/>
      <c r="BB1097" s="108"/>
      <c r="BC1097" s="108"/>
      <c r="BD1097" s="108"/>
      <c r="BE1097" s="108"/>
    </row>
    <row r="1098" spans="1:57" x14ac:dyDescent="0.25">
      <c r="A1098" s="6" t="s">
        <v>8</v>
      </c>
      <c r="B1098" s="23">
        <v>35132</v>
      </c>
      <c r="C1098" s="39" t="s">
        <v>926</v>
      </c>
      <c r="D1098" s="24" t="s">
        <v>791</v>
      </c>
      <c r="E1098" s="35">
        <f>59+11/60+24/3600</f>
        <v>59.19</v>
      </c>
      <c r="F1098" s="35">
        <f>17+37/60+48/3600</f>
        <v>17.63</v>
      </c>
      <c r="G1098" s="5"/>
      <c r="H1098" s="9" t="s">
        <v>150</v>
      </c>
      <c r="I1098" s="24" t="s">
        <v>169</v>
      </c>
      <c r="J1098" s="24" t="s">
        <v>169</v>
      </c>
      <c r="K1098" s="24" t="s">
        <v>5</v>
      </c>
      <c r="L1098" s="24" t="s">
        <v>2043</v>
      </c>
      <c r="M1098" s="7" t="s">
        <v>2653</v>
      </c>
      <c r="AR1098" s="19" t="s">
        <v>160</v>
      </c>
      <c r="AS1098" s="19" t="s">
        <v>160</v>
      </c>
      <c r="BB1098" s="19"/>
      <c r="BC1098" s="19"/>
      <c r="BD1098" s="19"/>
      <c r="BE1098" s="19"/>
    </row>
    <row r="1099" spans="1:57" x14ac:dyDescent="0.25">
      <c r="A1099" s="9" t="s">
        <v>706</v>
      </c>
      <c r="B1099" s="38">
        <v>3</v>
      </c>
      <c r="C1099" s="39" t="s">
        <v>926</v>
      </c>
      <c r="D1099" s="62" t="s">
        <v>122</v>
      </c>
      <c r="E1099" s="3">
        <f>59+11/60+31/3600</f>
        <v>59.191944444444438</v>
      </c>
      <c r="F1099" s="3">
        <f>17+37/60+56/3600</f>
        <v>17.632222222222222</v>
      </c>
      <c r="G1099" s="5"/>
      <c r="H1099" s="9" t="s">
        <v>150</v>
      </c>
      <c r="I1099" s="7" t="s">
        <v>169</v>
      </c>
      <c r="J1099" s="7" t="s">
        <v>169</v>
      </c>
      <c r="K1099" s="9" t="s">
        <v>5</v>
      </c>
      <c r="L1099" s="7" t="s">
        <v>2043</v>
      </c>
      <c r="M1099" s="7" t="s">
        <v>2653</v>
      </c>
      <c r="AR1099" s="19" t="s">
        <v>160</v>
      </c>
      <c r="AS1099" s="19" t="s">
        <v>160</v>
      </c>
      <c r="BB1099" s="19"/>
      <c r="BC1099" s="19"/>
      <c r="BD1099" s="19"/>
      <c r="BE1099" s="19"/>
    </row>
    <row r="1100" spans="1:57" x14ac:dyDescent="0.25">
      <c r="A1100" s="9" t="s">
        <v>8</v>
      </c>
      <c r="B1100" s="38">
        <v>33004</v>
      </c>
      <c r="C1100" s="39" t="s">
        <v>2297</v>
      </c>
      <c r="D1100" t="s">
        <v>2298</v>
      </c>
      <c r="E1100" s="25">
        <f>55+55/60</f>
        <v>55.916666666666664</v>
      </c>
      <c r="F1100" s="25">
        <f>18+47/60</f>
        <v>18.783333333333335</v>
      </c>
      <c r="H1100" s="9" t="s">
        <v>150</v>
      </c>
      <c r="I1100" s="41" t="s">
        <v>8</v>
      </c>
      <c r="J1100" s="41" t="s">
        <v>8</v>
      </c>
      <c r="K1100" s="9" t="s">
        <v>951</v>
      </c>
      <c r="L1100" s="7" t="s">
        <v>2050</v>
      </c>
      <c r="M1100" s="7" t="s">
        <v>2653</v>
      </c>
      <c r="N1100" s="19" t="s">
        <v>2300</v>
      </c>
      <c r="P1100" s="19" t="s">
        <v>160</v>
      </c>
      <c r="S1100" s="19" t="s">
        <v>160</v>
      </c>
      <c r="T1100" s="19" t="s">
        <v>160</v>
      </c>
      <c r="X1100" s="19" t="s">
        <v>160</v>
      </c>
      <c r="AN1100" s="19" t="s">
        <v>160</v>
      </c>
      <c r="BB1100" s="19"/>
      <c r="BC1100" s="19"/>
      <c r="BD1100" s="19"/>
      <c r="BE1100" s="19"/>
    </row>
    <row r="1101" spans="1:57" x14ac:dyDescent="0.25">
      <c r="A1101" s="9" t="s">
        <v>707</v>
      </c>
      <c r="B1101" s="137" t="s">
        <v>564</v>
      </c>
      <c r="C1101" s="23" t="s">
        <v>744</v>
      </c>
      <c r="D1101" s="40" t="s">
        <v>565</v>
      </c>
      <c r="E1101" s="46" t="s">
        <v>567</v>
      </c>
      <c r="F1101" s="46" t="s">
        <v>566</v>
      </c>
      <c r="G1101" s="40"/>
      <c r="H1101" s="9" t="s">
        <v>150</v>
      </c>
      <c r="I1101" s="41" t="s">
        <v>8</v>
      </c>
      <c r="J1101" s="41" t="s">
        <v>8</v>
      </c>
      <c r="K1101" s="40" t="s">
        <v>6</v>
      </c>
      <c r="L1101" s="41" t="s">
        <v>2030</v>
      </c>
      <c r="M1101" s="7" t="s">
        <v>2653</v>
      </c>
      <c r="N1101" s="42" t="s">
        <v>1133</v>
      </c>
      <c r="O1101" s="22"/>
      <c r="P1101" s="42" t="s">
        <v>160</v>
      </c>
      <c r="Q1101" s="44" t="s">
        <v>1182</v>
      </c>
      <c r="R1101" s="44" t="s">
        <v>1623</v>
      </c>
      <c r="S1101" s="19" t="s">
        <v>160</v>
      </c>
      <c r="T1101" s="19" t="s">
        <v>160</v>
      </c>
      <c r="U1101" s="19">
        <v>1</v>
      </c>
      <c r="V1101" s="42" t="s">
        <v>160</v>
      </c>
      <c r="W1101" s="42" t="s">
        <v>160</v>
      </c>
      <c r="X1101" s="42"/>
      <c r="Y1101" s="42"/>
      <c r="Z1101" s="42"/>
      <c r="AA1101" s="42"/>
      <c r="AB1101" s="42"/>
      <c r="AC1101" s="42"/>
      <c r="AD1101" s="42"/>
      <c r="AE1101" s="42"/>
      <c r="AF1101" s="42"/>
      <c r="AG1101" s="42"/>
      <c r="AH1101" s="42"/>
      <c r="AI1101" s="42"/>
      <c r="AJ1101" s="42"/>
      <c r="AK1101" s="42"/>
      <c r="AL1101" s="42"/>
      <c r="AM1101" s="42"/>
      <c r="AN1101" s="42"/>
      <c r="AO1101" s="42"/>
      <c r="AP1101" s="42"/>
      <c r="AQ1101" s="42"/>
      <c r="AR1101" s="42"/>
      <c r="AS1101" s="42"/>
      <c r="AZ1101" s="42"/>
      <c r="BA1101" s="42"/>
      <c r="BB1101" s="42"/>
      <c r="BC1101" s="42"/>
      <c r="BD1101" s="42"/>
      <c r="BE1101" s="42"/>
    </row>
    <row r="1102" spans="1:57" x14ac:dyDescent="0.25">
      <c r="A1102" s="53" t="s">
        <v>2763</v>
      </c>
      <c r="B1102" s="143">
        <v>2061</v>
      </c>
      <c r="C1102" s="85" t="s">
        <v>744</v>
      </c>
      <c r="D1102" s="85" t="s">
        <v>744</v>
      </c>
      <c r="E1102" s="180">
        <f>62+21/60+48/3600</f>
        <v>62.363333333333337</v>
      </c>
      <c r="F1102" s="180">
        <f>17+31/60+52/3600</f>
        <v>17.531111111111109</v>
      </c>
      <c r="G1102" s="86"/>
      <c r="H1102" s="9" t="s">
        <v>150</v>
      </c>
      <c r="I1102" s="14" t="s">
        <v>8</v>
      </c>
      <c r="J1102" s="85" t="s">
        <v>8</v>
      </c>
      <c r="K1102" s="7" t="s">
        <v>6</v>
      </c>
      <c r="L1102" s="7" t="s">
        <v>2030</v>
      </c>
      <c r="M1102" s="7" t="s">
        <v>2653</v>
      </c>
      <c r="N1102" s="42" t="s">
        <v>1133</v>
      </c>
      <c r="O1102" s="22"/>
      <c r="P1102" s="42" t="s">
        <v>160</v>
      </c>
      <c r="Q1102" s="44" t="s">
        <v>1182</v>
      </c>
      <c r="R1102" s="44" t="s">
        <v>1623</v>
      </c>
      <c r="S1102" s="19" t="s">
        <v>160</v>
      </c>
      <c r="T1102" s="19" t="s">
        <v>160</v>
      </c>
      <c r="U1102" s="42">
        <v>1</v>
      </c>
      <c r="V1102" s="20" t="s">
        <v>160</v>
      </c>
      <c r="W1102" s="20" t="s">
        <v>160</v>
      </c>
      <c r="X1102" s="85"/>
      <c r="Y1102" s="85"/>
      <c r="Z1102" s="85"/>
      <c r="AA1102" s="85"/>
      <c r="AB1102" s="85"/>
      <c r="AC1102" s="85"/>
      <c r="AD1102" s="85"/>
      <c r="AE1102" s="85"/>
      <c r="AF1102" s="85"/>
      <c r="AG1102" s="85"/>
      <c r="AH1102" s="85"/>
      <c r="AI1102" s="85"/>
      <c r="AJ1102" s="85"/>
      <c r="AK1102" s="85"/>
      <c r="AL1102" s="85"/>
      <c r="AM1102" s="85"/>
      <c r="AN1102" s="85"/>
      <c r="AO1102" s="85"/>
      <c r="AP1102" s="85"/>
      <c r="AQ1102" s="85"/>
      <c r="AR1102" s="85"/>
      <c r="AS1102" s="85"/>
      <c r="AT1102" s="85"/>
      <c r="AU1102" s="85"/>
      <c r="AV1102" s="85"/>
      <c r="AW1102" s="85"/>
      <c r="AX1102" s="85"/>
      <c r="AY1102" s="85"/>
      <c r="AZ1102" s="85"/>
      <c r="BA1102" s="85"/>
      <c r="BB1102" s="85"/>
      <c r="BC1102" s="85"/>
      <c r="BD1102" s="85"/>
      <c r="BE1102" s="85"/>
    </row>
    <row r="1103" spans="1:57" s="94" customFormat="1" x14ac:dyDescent="0.25">
      <c r="A1103" s="105" t="s">
        <v>2773</v>
      </c>
      <c r="B1103" s="139" t="s">
        <v>2818</v>
      </c>
      <c r="C1103" s="110" t="s">
        <v>744</v>
      </c>
      <c r="D1103" s="153" t="s">
        <v>744</v>
      </c>
      <c r="E1103" s="82">
        <f>62+21/60+48/3600</f>
        <v>62.363333333333337</v>
      </c>
      <c r="F1103" s="82">
        <f>17+31/60+52/3600</f>
        <v>17.531111111111109</v>
      </c>
      <c r="G1103" s="81"/>
      <c r="H1103" s="105" t="s">
        <v>150</v>
      </c>
      <c r="I1103" s="105" t="s">
        <v>8</v>
      </c>
      <c r="J1103" s="105" t="s">
        <v>8</v>
      </c>
      <c r="K1103" s="105" t="s">
        <v>6</v>
      </c>
      <c r="L1103" s="105" t="s">
        <v>2030</v>
      </c>
      <c r="M1103" s="105" t="s">
        <v>2653</v>
      </c>
      <c r="N1103" s="106" t="s">
        <v>1133</v>
      </c>
      <c r="O1103" s="104"/>
      <c r="P1103" s="106" t="s">
        <v>160</v>
      </c>
      <c r="Q1103" s="107" t="s">
        <v>1182</v>
      </c>
      <c r="R1103" s="107" t="s">
        <v>1623</v>
      </c>
      <c r="S1103" s="108" t="s">
        <v>160</v>
      </c>
      <c r="T1103" s="108" t="s">
        <v>160</v>
      </c>
      <c r="U1103" s="106">
        <v>1</v>
      </c>
      <c r="V1103" s="103" t="s">
        <v>160</v>
      </c>
      <c r="W1103" s="103" t="s">
        <v>160</v>
      </c>
      <c r="X1103" s="103"/>
      <c r="Y1103" s="103"/>
      <c r="Z1103" s="103"/>
      <c r="AA1103" s="103"/>
      <c r="AB1103" s="103"/>
      <c r="AC1103" s="103"/>
      <c r="AD1103" s="103"/>
      <c r="AE1103" s="103"/>
      <c r="AF1103" s="103"/>
      <c r="AG1103" s="103"/>
      <c r="AH1103" s="103"/>
      <c r="AI1103" s="103"/>
      <c r="AJ1103" s="103"/>
      <c r="AK1103" s="103"/>
      <c r="AL1103" s="103"/>
      <c r="AM1103" s="103"/>
      <c r="AN1103" s="103"/>
      <c r="AO1103" s="103"/>
      <c r="AP1103" s="103"/>
      <c r="AQ1103" s="103"/>
      <c r="AR1103" s="103"/>
      <c r="AS1103" s="103"/>
      <c r="AT1103" s="103"/>
      <c r="AU1103" s="103"/>
      <c r="AV1103" s="103"/>
      <c r="AW1103" s="103"/>
      <c r="AX1103" s="103"/>
      <c r="AY1103" s="103"/>
      <c r="AZ1103" s="103"/>
      <c r="BA1103" s="103"/>
      <c r="BB1103" s="103"/>
      <c r="BC1103" s="103"/>
      <c r="BD1103" s="103"/>
      <c r="BE1103" s="103"/>
    </row>
    <row r="1104" spans="1:57" x14ac:dyDescent="0.25">
      <c r="A1104" s="7" t="s">
        <v>8</v>
      </c>
      <c r="B1104" s="142" t="s">
        <v>3009</v>
      </c>
      <c r="C1104" s="23" t="s">
        <v>744</v>
      </c>
      <c r="D1104" t="s">
        <v>744</v>
      </c>
      <c r="E1104" s="193">
        <v>62.363199999999999</v>
      </c>
      <c r="F1104" s="193">
        <v>17.531199999999998</v>
      </c>
      <c r="G1104" s="43"/>
      <c r="H1104" s="7" t="s">
        <v>150</v>
      </c>
      <c r="I1104" s="7" t="s">
        <v>8</v>
      </c>
      <c r="J1104" s="7" t="s">
        <v>8</v>
      </c>
      <c r="K1104" s="7" t="s">
        <v>6</v>
      </c>
      <c r="L1104" s="7" t="s">
        <v>2030</v>
      </c>
      <c r="M1104" s="7" t="s">
        <v>2653</v>
      </c>
      <c r="N1104" s="42" t="s">
        <v>1133</v>
      </c>
      <c r="O1104" s="22"/>
      <c r="P1104" s="42" t="s">
        <v>160</v>
      </c>
      <c r="Q1104" s="44" t="s">
        <v>1182</v>
      </c>
      <c r="R1104" s="44" t="s">
        <v>1623</v>
      </c>
      <c r="S1104" s="19" t="s">
        <v>160</v>
      </c>
      <c r="T1104" s="19" t="s">
        <v>160</v>
      </c>
      <c r="U1104" s="42">
        <v>1</v>
      </c>
      <c r="V1104" s="20" t="s">
        <v>160</v>
      </c>
      <c r="W1104" s="20" t="s">
        <v>160</v>
      </c>
      <c r="X1104" s="20"/>
      <c r="Y1104" s="20"/>
      <c r="Z1104" s="20"/>
      <c r="AA1104" s="20"/>
      <c r="AB1104" s="20"/>
      <c r="AC1104" s="20"/>
      <c r="AD1104" s="20"/>
      <c r="AE1104" s="20"/>
      <c r="AF1104" s="20"/>
      <c r="AG1104" s="20"/>
      <c r="AH1104" s="20"/>
      <c r="AI1104" s="20"/>
      <c r="AJ1104" s="20"/>
      <c r="AK1104" s="20"/>
      <c r="AL1104" s="20"/>
      <c r="AM1104" s="20"/>
      <c r="AN1104" s="20"/>
      <c r="AO1104" s="20"/>
      <c r="AP1104" s="20"/>
      <c r="AQ1104" s="20"/>
      <c r="AR1104" s="20"/>
      <c r="AS1104" s="20"/>
      <c r="AT1104" s="20"/>
      <c r="AU1104" s="20"/>
      <c r="AV1104" s="20"/>
      <c r="AW1104" s="20"/>
      <c r="AX1104" s="20"/>
      <c r="AY1104" s="20"/>
      <c r="AZ1104" s="20"/>
      <c r="BA1104" s="20"/>
      <c r="BB1104" s="20"/>
      <c r="BC1104" s="20"/>
      <c r="BD1104" s="20"/>
      <c r="BE1104" s="20"/>
    </row>
    <row r="1105" spans="1:57" x14ac:dyDescent="0.25">
      <c r="A1105" s="9" t="s">
        <v>706</v>
      </c>
      <c r="B1105" s="140">
        <v>109</v>
      </c>
      <c r="C1105" s="23" t="s">
        <v>744</v>
      </c>
      <c r="D1105" s="62" t="s">
        <v>107</v>
      </c>
      <c r="E1105" s="5">
        <f>62+21/60+48/3600</f>
        <v>62.363333333333337</v>
      </c>
      <c r="F1105" s="5">
        <f>17+31/60+52/3600</f>
        <v>17.531111111111109</v>
      </c>
      <c r="G1105" s="43"/>
      <c r="H1105" s="9" t="s">
        <v>150</v>
      </c>
      <c r="I1105" s="7" t="s">
        <v>8</v>
      </c>
      <c r="J1105" s="7" t="s">
        <v>8</v>
      </c>
      <c r="K1105" s="9" t="s">
        <v>6</v>
      </c>
      <c r="L1105" s="7" t="s">
        <v>2030</v>
      </c>
      <c r="M1105" s="7" t="s">
        <v>2653</v>
      </c>
      <c r="N1105" s="42" t="s">
        <v>1133</v>
      </c>
      <c r="O1105" s="22"/>
      <c r="P1105" s="42" t="s">
        <v>160</v>
      </c>
      <c r="Q1105" s="44" t="s">
        <v>1182</v>
      </c>
      <c r="R1105" s="44" t="s">
        <v>1623</v>
      </c>
      <c r="S1105" s="19" t="s">
        <v>160</v>
      </c>
      <c r="T1105" s="19" t="s">
        <v>160</v>
      </c>
      <c r="U1105" s="19">
        <v>1</v>
      </c>
      <c r="V1105" s="19" t="s">
        <v>160</v>
      </c>
      <c r="W1105" s="19" t="s">
        <v>160</v>
      </c>
      <c r="BB1105" s="19"/>
      <c r="BC1105" s="19"/>
      <c r="BD1105" s="19"/>
      <c r="BE1105" s="19"/>
    </row>
    <row r="1106" spans="1:57" x14ac:dyDescent="0.25">
      <c r="A1106" s="53" t="s">
        <v>2763</v>
      </c>
      <c r="B1106" s="143">
        <v>35125</v>
      </c>
      <c r="C1106" s="85" t="s">
        <v>983</v>
      </c>
      <c r="D1106" s="85" t="s">
        <v>983</v>
      </c>
      <c r="E1106" s="57">
        <f>62+20/60+59.64/3600</f>
        <v>62.349900000000005</v>
      </c>
      <c r="F1106" s="35">
        <f>17+34/60+41.16/3600</f>
        <v>17.578099999999999</v>
      </c>
      <c r="G1106" s="85"/>
      <c r="H1106" s="9" t="s">
        <v>150</v>
      </c>
      <c r="I1106" s="85" t="s">
        <v>169</v>
      </c>
      <c r="J1106" s="85" t="s">
        <v>169</v>
      </c>
      <c r="K1106" s="40" t="s">
        <v>6</v>
      </c>
      <c r="L1106" s="41" t="s">
        <v>2030</v>
      </c>
      <c r="M1106" s="7" t="s">
        <v>717</v>
      </c>
      <c r="N1106" s="19" t="s">
        <v>1700</v>
      </c>
      <c r="O1106" s="19" t="s">
        <v>160</v>
      </c>
      <c r="Q1106" s="44" t="s">
        <v>1182</v>
      </c>
      <c r="U1106" s="19">
        <v>4</v>
      </c>
      <c r="V1106" s="42" t="s">
        <v>160</v>
      </c>
      <c r="W1106" s="85"/>
      <c r="X1106" s="85"/>
      <c r="Y1106" s="85"/>
      <c r="Z1106" s="85"/>
      <c r="AA1106" s="85"/>
      <c r="AB1106" s="85"/>
      <c r="AC1106" s="85"/>
      <c r="AD1106" s="85"/>
      <c r="AE1106" s="85"/>
      <c r="AF1106" s="85"/>
      <c r="AG1106" s="85"/>
      <c r="AH1106" s="85"/>
      <c r="AI1106" s="85"/>
      <c r="AJ1106" s="85"/>
      <c r="AK1106" s="85"/>
      <c r="AL1106" s="85"/>
      <c r="AM1106" s="85"/>
      <c r="AN1106" s="85"/>
      <c r="AO1106" s="85"/>
      <c r="AP1106" s="85"/>
      <c r="AQ1106" s="85"/>
      <c r="AR1106" s="85"/>
      <c r="AS1106" s="85"/>
      <c r="AT1106" s="85"/>
      <c r="AU1106" s="85"/>
      <c r="AV1106" s="85"/>
      <c r="AW1106" s="85"/>
      <c r="AX1106" s="85"/>
      <c r="AY1106" s="85"/>
      <c r="AZ1106" s="85"/>
      <c r="BA1106" s="85"/>
      <c r="BB1106" s="85"/>
      <c r="BC1106" s="85"/>
      <c r="BD1106" s="85"/>
      <c r="BE1106" s="85"/>
    </row>
    <row r="1107" spans="1:57" s="94" customFormat="1" x14ac:dyDescent="0.25">
      <c r="A1107" s="94" t="s">
        <v>2773</v>
      </c>
      <c r="B1107" s="139">
        <v>35125</v>
      </c>
      <c r="C1107" s="110" t="s">
        <v>983</v>
      </c>
      <c r="D1107" s="112" t="s">
        <v>983</v>
      </c>
      <c r="E1107" s="191">
        <f>62+21/60+48/3600</f>
        <v>62.363333333333337</v>
      </c>
      <c r="F1107" s="191">
        <f>17+31/60+51/3600</f>
        <v>17.530833333333334</v>
      </c>
      <c r="G1107" s="112"/>
      <c r="H1107" s="94" t="s">
        <v>150</v>
      </c>
      <c r="I1107" s="112" t="s">
        <v>169</v>
      </c>
      <c r="J1107" s="113" t="s">
        <v>169</v>
      </c>
      <c r="K1107" s="112" t="s">
        <v>6</v>
      </c>
      <c r="L1107" s="113" t="s">
        <v>2030</v>
      </c>
      <c r="M1107" s="105" t="s">
        <v>717</v>
      </c>
      <c r="N1107" s="108" t="s">
        <v>1700</v>
      </c>
      <c r="O1107" s="108" t="s">
        <v>160</v>
      </c>
      <c r="P1107" s="108"/>
      <c r="Q1107" s="107" t="s">
        <v>1182</v>
      </c>
      <c r="R1107" s="108"/>
      <c r="S1107" s="108"/>
      <c r="T1107" s="108"/>
      <c r="U1107" s="108">
        <v>4</v>
      </c>
      <c r="V1107" s="106" t="s">
        <v>160</v>
      </c>
      <c r="W1107" s="106"/>
      <c r="X1107" s="106"/>
      <c r="Y1107" s="106"/>
      <c r="Z1107" s="106"/>
      <c r="AA1107" s="106"/>
      <c r="AB1107" s="106"/>
      <c r="AC1107" s="106"/>
      <c r="AD1107" s="106"/>
      <c r="AE1107" s="106"/>
      <c r="AF1107" s="106"/>
      <c r="AG1107" s="106"/>
      <c r="AH1107" s="106"/>
      <c r="AI1107" s="106"/>
      <c r="AJ1107" s="106"/>
      <c r="AK1107" s="106"/>
      <c r="AL1107" s="106"/>
      <c r="AM1107" s="106"/>
      <c r="AN1107" s="106"/>
      <c r="AO1107" s="106"/>
      <c r="AP1107" s="106"/>
      <c r="AQ1107" s="106"/>
      <c r="AR1107" s="106"/>
      <c r="AS1107" s="106"/>
      <c r="AT1107" s="108"/>
      <c r="AU1107" s="108"/>
      <c r="AV1107" s="108"/>
      <c r="AW1107" s="108"/>
      <c r="AX1107" s="108"/>
      <c r="AY1107" s="108"/>
      <c r="AZ1107" s="106"/>
      <c r="BA1107" s="106"/>
      <c r="BB1107" s="106"/>
      <c r="BC1107" s="106"/>
      <c r="BD1107" s="106"/>
      <c r="BE1107" s="106"/>
    </row>
    <row r="1108" spans="1:57" x14ac:dyDescent="0.25">
      <c r="A1108" s="9" t="s">
        <v>8</v>
      </c>
      <c r="B1108" s="142">
        <v>35125</v>
      </c>
      <c r="C1108" s="23" t="s">
        <v>983</v>
      </c>
      <c r="D1108" s="40" t="s">
        <v>983</v>
      </c>
      <c r="E1108" s="193">
        <v>62.363100000000003</v>
      </c>
      <c r="F1108" s="193">
        <v>17.8979</v>
      </c>
      <c r="G1108" s="40"/>
      <c r="H1108" s="9" t="s">
        <v>150</v>
      </c>
      <c r="I1108" s="40" t="s">
        <v>169</v>
      </c>
      <c r="J1108" s="41" t="s">
        <v>169</v>
      </c>
      <c r="K1108" s="40" t="s">
        <v>6</v>
      </c>
      <c r="L1108" s="41" t="s">
        <v>2030</v>
      </c>
      <c r="M1108" s="7" t="s">
        <v>717</v>
      </c>
      <c r="N1108" s="19" t="s">
        <v>1700</v>
      </c>
      <c r="O1108" s="19" t="s">
        <v>160</v>
      </c>
      <c r="Q1108" s="44" t="s">
        <v>1182</v>
      </c>
      <c r="U1108" s="19">
        <v>4</v>
      </c>
      <c r="V1108" s="42" t="s">
        <v>160</v>
      </c>
      <c r="W1108" s="42"/>
      <c r="X1108" s="42"/>
      <c r="Y1108" s="42"/>
      <c r="Z1108" s="42"/>
      <c r="AA1108" s="42"/>
      <c r="AB1108" s="42"/>
      <c r="AC1108" s="42"/>
      <c r="AD1108" s="42"/>
      <c r="AE1108" s="42"/>
      <c r="AF1108" s="42"/>
      <c r="AG1108" s="42"/>
      <c r="AH1108" s="42"/>
      <c r="AI1108" s="42"/>
      <c r="AJ1108" s="42"/>
      <c r="AK1108" s="42"/>
      <c r="AL1108" s="42"/>
      <c r="AM1108" s="42"/>
      <c r="AN1108" s="42"/>
      <c r="AO1108" s="42"/>
      <c r="AP1108" s="42"/>
      <c r="AQ1108" s="42"/>
      <c r="AR1108" s="42"/>
      <c r="AS1108" s="42"/>
      <c r="AZ1108" s="42"/>
      <c r="BA1108" s="42"/>
      <c r="BB1108" s="42"/>
      <c r="BC1108" s="42"/>
      <c r="BD1108" s="42"/>
      <c r="BE1108" s="42"/>
    </row>
    <row r="1109" spans="1:57" x14ac:dyDescent="0.25">
      <c r="A1109" s="9" t="s">
        <v>8</v>
      </c>
      <c r="B1109" s="27">
        <v>37125</v>
      </c>
      <c r="C1109" s="28" t="s">
        <v>1973</v>
      </c>
      <c r="D1109" s="28" t="s">
        <v>744</v>
      </c>
      <c r="E1109" s="25">
        <v>62.366700000000002</v>
      </c>
      <c r="F1109" s="25">
        <v>17.533300000000001</v>
      </c>
      <c r="H1109" s="9" t="s">
        <v>150</v>
      </c>
      <c r="I1109" s="9" t="s">
        <v>8</v>
      </c>
      <c r="J1109" s="7" t="s">
        <v>8</v>
      </c>
      <c r="K1109" s="6" t="s">
        <v>2455</v>
      </c>
      <c r="L1109" s="7" t="s">
        <v>2027</v>
      </c>
      <c r="M1109" s="28" t="s">
        <v>717</v>
      </c>
      <c r="N1109" s="19" t="s">
        <v>1818</v>
      </c>
      <c r="O1109" s="22"/>
      <c r="T1109" s="7"/>
      <c r="X1109" s="19" t="s">
        <v>160</v>
      </c>
      <c r="BA1109" s="7"/>
      <c r="BB1109" s="7"/>
      <c r="BC1109" s="7"/>
      <c r="BD1109" s="7"/>
      <c r="BE1109" s="7"/>
    </row>
    <row r="1110" spans="1:57" s="94" customFormat="1" x14ac:dyDescent="0.25">
      <c r="A1110" s="98" t="s">
        <v>2773</v>
      </c>
      <c r="B1110" s="135">
        <v>2060</v>
      </c>
      <c r="C1110" s="98" t="s">
        <v>1248</v>
      </c>
      <c r="D1110" s="98" t="s">
        <v>1205</v>
      </c>
      <c r="E1110" s="189">
        <f>62+51/60+36/3600</f>
        <v>62.86</v>
      </c>
      <c r="F1110" s="189">
        <f>17+52/60+48/3600</f>
        <v>17.88</v>
      </c>
      <c r="G1110" s="101"/>
      <c r="H1110" s="98" t="s">
        <v>150</v>
      </c>
      <c r="I1110" s="98" t="s">
        <v>8</v>
      </c>
      <c r="J1110" s="102" t="s">
        <v>8</v>
      </c>
      <c r="K1110" s="98" t="s">
        <v>6</v>
      </c>
      <c r="L1110" s="102" t="s">
        <v>2030</v>
      </c>
      <c r="M1110" s="102" t="s">
        <v>717</v>
      </c>
      <c r="N1110" s="104" t="s">
        <v>1278</v>
      </c>
      <c r="O1110" s="104"/>
      <c r="P1110" s="104"/>
      <c r="Q1110" s="103" t="s">
        <v>1660</v>
      </c>
      <c r="R1110" s="103"/>
      <c r="S1110" s="103"/>
      <c r="T1110" s="103"/>
      <c r="U1110" s="104">
        <v>4</v>
      </c>
      <c r="V1110" s="103" t="s">
        <v>160</v>
      </c>
      <c r="W1110" s="103"/>
      <c r="X1110" s="103"/>
      <c r="Y1110" s="103"/>
      <c r="Z1110" s="103"/>
      <c r="AA1110" s="103"/>
      <c r="AB1110" s="103"/>
      <c r="AC1110" s="103"/>
      <c r="AD1110" s="103"/>
      <c r="AE1110" s="103"/>
      <c r="AF1110" s="103"/>
      <c r="AG1110" s="103"/>
      <c r="AH1110" s="103"/>
      <c r="AI1110" s="103"/>
      <c r="AJ1110" s="103"/>
      <c r="AK1110" s="103"/>
      <c r="AL1110" s="103"/>
      <c r="AM1110" s="103"/>
      <c r="AN1110" s="103"/>
      <c r="AO1110" s="103"/>
      <c r="AP1110" s="103"/>
      <c r="AQ1110" s="103"/>
      <c r="AR1110" s="103"/>
      <c r="AS1110" s="103"/>
      <c r="AT1110" s="103"/>
      <c r="AU1110" s="103"/>
      <c r="AV1110" s="103"/>
      <c r="AW1110" s="103"/>
      <c r="AX1110" s="103"/>
      <c r="AY1110" s="103"/>
      <c r="AZ1110" s="103"/>
      <c r="BA1110" s="103"/>
      <c r="BB1110" s="103"/>
      <c r="BC1110" s="103"/>
      <c r="BD1110" s="103"/>
      <c r="BE1110" s="103"/>
    </row>
    <row r="1111" spans="1:57" x14ac:dyDescent="0.25">
      <c r="A1111" s="10" t="s">
        <v>8</v>
      </c>
      <c r="B1111" s="155">
        <v>2060</v>
      </c>
      <c r="C1111" s="10" t="s">
        <v>1248</v>
      </c>
      <c r="D1111" s="10" t="s">
        <v>1205</v>
      </c>
      <c r="E1111" s="195">
        <v>62.86</v>
      </c>
      <c r="F1111" s="195">
        <v>17.88</v>
      </c>
      <c r="G1111" s="30"/>
      <c r="H1111" s="10" t="s">
        <v>150</v>
      </c>
      <c r="I1111" s="10" t="s">
        <v>8</v>
      </c>
      <c r="J1111" s="24" t="s">
        <v>8</v>
      </c>
      <c r="K1111" s="10" t="s">
        <v>6</v>
      </c>
      <c r="L1111" s="24" t="s">
        <v>2030</v>
      </c>
      <c r="M1111" s="24" t="s">
        <v>717</v>
      </c>
      <c r="N1111" s="22" t="s">
        <v>1278</v>
      </c>
      <c r="O1111" s="22"/>
      <c r="P1111" s="22"/>
      <c r="Q1111" s="20" t="s">
        <v>1660</v>
      </c>
      <c r="R1111" s="20"/>
      <c r="S1111" s="20"/>
      <c r="T1111" s="20"/>
      <c r="U1111" s="22">
        <v>4</v>
      </c>
      <c r="V1111" s="20" t="s">
        <v>160</v>
      </c>
      <c r="W1111" s="20"/>
      <c r="X1111" s="20"/>
      <c r="Y1111" s="20"/>
      <c r="Z1111" s="20"/>
      <c r="AA1111" s="20"/>
      <c r="AB1111" s="20"/>
      <c r="AC1111" s="20"/>
      <c r="AD1111" s="20"/>
      <c r="AE1111" s="20"/>
      <c r="AF1111" s="20"/>
      <c r="AG1111" s="20"/>
      <c r="AH1111" s="20"/>
      <c r="AI1111" s="20"/>
      <c r="AJ1111" s="20"/>
      <c r="AK1111" s="20"/>
      <c r="AL1111" s="20"/>
      <c r="AM1111" s="20"/>
      <c r="AN1111" s="20"/>
      <c r="AO1111" s="20"/>
      <c r="AP1111" s="20"/>
      <c r="AQ1111" s="20"/>
      <c r="AR1111" s="20"/>
      <c r="AS1111" s="20"/>
      <c r="AT1111" s="20"/>
      <c r="AU1111" s="20"/>
      <c r="AV1111" s="20"/>
      <c r="AW1111" s="20"/>
      <c r="AX1111" s="20"/>
      <c r="AY1111" s="20"/>
      <c r="AZ1111" s="20"/>
      <c r="BA1111" s="20"/>
      <c r="BB1111" s="20"/>
      <c r="BC1111" s="20"/>
      <c r="BD1111" s="20"/>
      <c r="BE1111" s="20"/>
    </row>
    <row r="1112" spans="1:57" x14ac:dyDescent="0.25">
      <c r="A1112" s="9" t="s">
        <v>8</v>
      </c>
      <c r="B1112" s="27">
        <v>37204</v>
      </c>
      <c r="C1112" s="28" t="s">
        <v>1974</v>
      </c>
      <c r="D1112" s="28" t="s">
        <v>1520</v>
      </c>
      <c r="E1112" s="25">
        <v>58.9833</v>
      </c>
      <c r="F1112" s="25">
        <v>18.433299999999999</v>
      </c>
      <c r="H1112" s="9" t="s">
        <v>150</v>
      </c>
      <c r="I1112" s="9" t="s">
        <v>8</v>
      </c>
      <c r="J1112" s="7" t="s">
        <v>8</v>
      </c>
      <c r="K1112" s="6" t="s">
        <v>2455</v>
      </c>
      <c r="L1112" s="7" t="s">
        <v>2027</v>
      </c>
      <c r="M1112" s="28" t="s">
        <v>717</v>
      </c>
      <c r="N1112" s="19" t="s">
        <v>1812</v>
      </c>
      <c r="O1112" s="22"/>
      <c r="T1112" s="7"/>
      <c r="X1112" s="19" t="s">
        <v>160</v>
      </c>
      <c r="BA1112" s="7"/>
      <c r="BB1112" s="7"/>
      <c r="BC1112" s="7"/>
      <c r="BD1112" s="7"/>
      <c r="BE1112" s="7"/>
    </row>
    <row r="1113" spans="1:57" x14ac:dyDescent="0.25">
      <c r="A1113" s="6" t="s">
        <v>8</v>
      </c>
      <c r="B1113" s="9">
        <v>88580</v>
      </c>
      <c r="C1113" s="9" t="s">
        <v>2414</v>
      </c>
      <c r="D1113" s="9" t="s">
        <v>1520</v>
      </c>
      <c r="E1113" s="3">
        <v>58.973300000000002</v>
      </c>
      <c r="F1113" s="3">
        <v>18.449300000000001</v>
      </c>
      <c r="G1113" s="9">
        <v>7</v>
      </c>
      <c r="H1113" s="9" t="s">
        <v>150</v>
      </c>
      <c r="I1113" s="6" t="s">
        <v>8</v>
      </c>
      <c r="J1113" s="21" t="s">
        <v>8</v>
      </c>
      <c r="K1113" s="3" t="s">
        <v>5</v>
      </c>
      <c r="L1113" s="5" t="s">
        <v>2680</v>
      </c>
      <c r="M1113" s="7" t="s">
        <v>717</v>
      </c>
      <c r="N1113" s="19" t="s">
        <v>2534</v>
      </c>
      <c r="O1113" s="22"/>
      <c r="P1113" s="19" t="s">
        <v>160</v>
      </c>
      <c r="AR1113" s="19" t="s">
        <v>160</v>
      </c>
      <c r="AT1113" s="19" t="s">
        <v>160</v>
      </c>
      <c r="AV1113" s="19" t="s">
        <v>160</v>
      </c>
      <c r="AX1113" s="19" t="s">
        <v>160</v>
      </c>
      <c r="AZ1113" s="19" t="s">
        <v>160</v>
      </c>
      <c r="BB1113" s="19"/>
      <c r="BC1113" s="19"/>
      <c r="BD1113" s="19"/>
      <c r="BE1113" s="19"/>
    </row>
    <row r="1114" spans="1:57" s="94" customFormat="1" x14ac:dyDescent="0.25">
      <c r="A1114" s="9" t="s">
        <v>707</v>
      </c>
      <c r="B1114" s="39" t="s">
        <v>568</v>
      </c>
      <c r="C1114" s="24" t="s">
        <v>829</v>
      </c>
      <c r="D1114" s="40" t="s">
        <v>569</v>
      </c>
      <c r="E1114" s="46" t="s">
        <v>2162</v>
      </c>
      <c r="F1114" s="46" t="s">
        <v>2163</v>
      </c>
      <c r="G1114" s="40"/>
      <c r="H1114" s="9" t="s">
        <v>148</v>
      </c>
      <c r="I1114" s="41" t="s">
        <v>169</v>
      </c>
      <c r="J1114" s="41" t="s">
        <v>169</v>
      </c>
      <c r="K1114" s="40" t="s">
        <v>5</v>
      </c>
      <c r="L1114" s="41" t="s">
        <v>2041</v>
      </c>
      <c r="M1114" s="7" t="s">
        <v>2653</v>
      </c>
      <c r="N1114" s="19"/>
      <c r="O1114" s="19"/>
      <c r="P1114" s="19"/>
      <c r="Q1114" s="19"/>
      <c r="R1114" s="19"/>
      <c r="S1114" s="19"/>
      <c r="T1114" s="19"/>
      <c r="U1114" s="19"/>
      <c r="V1114" s="42"/>
      <c r="W1114" s="42"/>
      <c r="X1114" s="42"/>
      <c r="Y1114" s="42"/>
      <c r="Z1114" s="42"/>
      <c r="AA1114" s="42"/>
      <c r="AB1114" s="42"/>
      <c r="AC1114" s="42"/>
      <c r="AD1114" s="42"/>
      <c r="AE1114" s="42"/>
      <c r="AF1114" s="42"/>
      <c r="AG1114" s="42"/>
      <c r="AH1114" s="42"/>
      <c r="AI1114" s="42"/>
      <c r="AJ1114" s="42"/>
      <c r="AK1114" s="42"/>
      <c r="AL1114" s="42"/>
      <c r="AM1114" s="42"/>
      <c r="AN1114" s="42"/>
      <c r="AO1114" s="42"/>
      <c r="AP1114" s="42"/>
      <c r="AQ1114" s="42"/>
      <c r="AR1114" s="42"/>
      <c r="AS1114" s="42"/>
      <c r="AT1114" s="19"/>
      <c r="AU1114" s="19"/>
      <c r="AV1114" s="19"/>
      <c r="AW1114" s="19"/>
      <c r="AX1114" s="19"/>
      <c r="AY1114" s="19"/>
      <c r="AZ1114" s="42" t="s">
        <v>160</v>
      </c>
      <c r="BA1114" s="42" t="s">
        <v>160</v>
      </c>
      <c r="BB1114" s="42"/>
      <c r="BC1114" s="42"/>
      <c r="BD1114" s="42"/>
      <c r="BE1114" s="42"/>
    </row>
    <row r="1115" spans="1:57" x14ac:dyDescent="0.25">
      <c r="A1115" s="114" t="s">
        <v>2773</v>
      </c>
      <c r="B1115" s="110" t="s">
        <v>3008</v>
      </c>
      <c r="C1115" s="102" t="s">
        <v>829</v>
      </c>
      <c r="D1115" s="153" t="s">
        <v>108</v>
      </c>
      <c r="E1115" s="93">
        <f>58+18/60+32.9976/3600</f>
        <v>58.309165999999998</v>
      </c>
      <c r="F1115" s="82">
        <f>12+19/60+7.1976/3600</f>
        <v>12.318666</v>
      </c>
      <c r="G1115" s="93"/>
      <c r="H1115" s="94" t="s">
        <v>148</v>
      </c>
      <c r="I1115" s="102" t="s">
        <v>169</v>
      </c>
      <c r="J1115" s="102" t="s">
        <v>169</v>
      </c>
      <c r="K1115" s="102" t="s">
        <v>5</v>
      </c>
      <c r="L1115" s="102" t="s">
        <v>2041</v>
      </c>
      <c r="M1115" s="105" t="s">
        <v>2653</v>
      </c>
      <c r="N1115" s="108"/>
      <c r="O1115" s="108"/>
      <c r="P1115" s="108"/>
      <c r="Q1115" s="108"/>
      <c r="R1115" s="108"/>
      <c r="S1115" s="108"/>
      <c r="T1115" s="108"/>
      <c r="U1115" s="108"/>
      <c r="V1115" s="108"/>
      <c r="W1115" s="108"/>
      <c r="X1115" s="108"/>
      <c r="Y1115" s="108"/>
      <c r="Z1115" s="108"/>
      <c r="AA1115" s="108"/>
      <c r="AB1115" s="108"/>
      <c r="AC1115" s="108"/>
      <c r="AD1115" s="108"/>
      <c r="AE1115" s="108"/>
      <c r="AF1115" s="108"/>
      <c r="AG1115" s="108"/>
      <c r="AH1115" s="108"/>
      <c r="AI1115" s="108"/>
      <c r="AJ1115" s="108"/>
      <c r="AK1115" s="108"/>
      <c r="AL1115" s="108"/>
      <c r="AM1115" s="108"/>
      <c r="AN1115" s="108"/>
      <c r="AO1115" s="108"/>
      <c r="AP1115" s="108"/>
      <c r="AQ1115" s="108"/>
      <c r="AR1115" s="108"/>
      <c r="AS1115" s="108"/>
      <c r="AT1115" s="108"/>
      <c r="AU1115" s="108"/>
      <c r="AV1115" s="108"/>
      <c r="AW1115" s="108"/>
      <c r="AX1115" s="108"/>
      <c r="AY1115" s="108"/>
      <c r="AZ1115" s="108" t="s">
        <v>160</v>
      </c>
      <c r="BA1115" s="108" t="s">
        <v>160</v>
      </c>
      <c r="BB1115" s="108"/>
      <c r="BC1115" s="108"/>
      <c r="BD1115" s="108"/>
      <c r="BE1115" s="108"/>
    </row>
    <row r="1116" spans="1:57" x14ac:dyDescent="0.25">
      <c r="A1116" s="6" t="s">
        <v>8</v>
      </c>
      <c r="B1116" s="23">
        <v>35173</v>
      </c>
      <c r="C1116" s="24" t="s">
        <v>829</v>
      </c>
      <c r="D1116" s="24" t="s">
        <v>829</v>
      </c>
      <c r="E1116" s="5">
        <v>58.309165999999998</v>
      </c>
      <c r="F1116" s="5">
        <v>12.318666</v>
      </c>
      <c r="G1116" s="5"/>
      <c r="H1116" s="9" t="s">
        <v>148</v>
      </c>
      <c r="I1116" s="24" t="s">
        <v>169</v>
      </c>
      <c r="J1116" s="24" t="s">
        <v>169</v>
      </c>
      <c r="K1116" s="24" t="s">
        <v>5</v>
      </c>
      <c r="L1116" s="24" t="s">
        <v>2041</v>
      </c>
      <c r="M1116" s="7" t="s">
        <v>2653</v>
      </c>
      <c r="AZ1116" s="19" t="s">
        <v>160</v>
      </c>
      <c r="BA1116" s="19" t="s">
        <v>160</v>
      </c>
      <c r="BB1116" s="19"/>
      <c r="BC1116" s="19"/>
      <c r="BD1116" s="19"/>
      <c r="BE1116" s="19"/>
    </row>
    <row r="1117" spans="1:57" x14ac:dyDescent="0.25">
      <c r="A1117" s="9" t="s">
        <v>706</v>
      </c>
      <c r="B1117" s="38">
        <v>82</v>
      </c>
      <c r="C1117" s="24" t="s">
        <v>829</v>
      </c>
      <c r="D1117" s="62" t="s">
        <v>108</v>
      </c>
      <c r="E1117" s="3">
        <f>58+18/60+33/3600</f>
        <v>58.309166666666663</v>
      </c>
      <c r="F1117" s="3">
        <f>12+19/60+7/3600</f>
        <v>12.31861111111111</v>
      </c>
      <c r="G1117" s="5"/>
      <c r="H1117" s="9" t="s">
        <v>148</v>
      </c>
      <c r="I1117" s="7" t="s">
        <v>169</v>
      </c>
      <c r="J1117" s="7" t="s">
        <v>169</v>
      </c>
      <c r="K1117" s="9" t="s">
        <v>5</v>
      </c>
      <c r="L1117" s="7" t="s">
        <v>2041</v>
      </c>
      <c r="M1117" s="7" t="s">
        <v>2653</v>
      </c>
      <c r="AZ1117" s="19" t="s">
        <v>160</v>
      </c>
      <c r="BA1117" s="19" t="s">
        <v>160</v>
      </c>
      <c r="BB1117" s="19"/>
      <c r="BC1117" s="19"/>
      <c r="BD1117" s="19"/>
      <c r="BE1117" s="19"/>
    </row>
    <row r="1118" spans="1:57" x14ac:dyDescent="0.25">
      <c r="A1118" s="6" t="s">
        <v>8</v>
      </c>
      <c r="B1118" s="9">
        <v>98160</v>
      </c>
      <c r="C1118" s="9" t="s">
        <v>1521</v>
      </c>
      <c r="D1118" s="9" t="s">
        <v>1522</v>
      </c>
      <c r="E1118" s="3">
        <v>59.299599999999998</v>
      </c>
      <c r="F1118" s="3">
        <v>18.704699999999999</v>
      </c>
      <c r="G1118" s="9">
        <v>16</v>
      </c>
      <c r="H1118" s="3" t="s">
        <v>150</v>
      </c>
      <c r="I1118" s="6" t="s">
        <v>8</v>
      </c>
      <c r="J1118" s="21" t="s">
        <v>8</v>
      </c>
      <c r="K1118" s="3" t="s">
        <v>5</v>
      </c>
      <c r="L1118" s="5" t="s">
        <v>2041</v>
      </c>
      <c r="M1118" s="5" t="s">
        <v>717</v>
      </c>
      <c r="N1118" s="19" t="s">
        <v>2591</v>
      </c>
      <c r="O1118" s="22"/>
      <c r="P1118" s="19" t="s">
        <v>160</v>
      </c>
      <c r="V1118" s="29"/>
      <c r="W1118" s="29"/>
      <c r="X1118" s="29"/>
      <c r="Y1118" s="29"/>
      <c r="Z1118" s="29"/>
      <c r="AA1118" s="29"/>
      <c r="AB1118" s="29"/>
      <c r="AC1118" s="29"/>
      <c r="AD1118" s="29"/>
      <c r="AE1118" s="29"/>
      <c r="AF1118" s="29"/>
      <c r="AG1118" s="29"/>
      <c r="AH1118" s="29"/>
      <c r="AI1118" s="29"/>
      <c r="AJ1118" s="29"/>
      <c r="AK1118" s="29"/>
      <c r="AL1118" s="29"/>
      <c r="AM1118" s="29"/>
      <c r="AN1118" s="29"/>
      <c r="AO1118" s="29"/>
      <c r="AP1118" s="29"/>
      <c r="AQ1118" s="29"/>
      <c r="AR1118" s="29"/>
      <c r="AS1118" s="29"/>
      <c r="AT1118" s="29"/>
      <c r="AU1118" s="29"/>
      <c r="AV1118" s="29"/>
      <c r="AW1118" s="29"/>
      <c r="AX1118" s="29"/>
      <c r="AY1118" s="29"/>
      <c r="AZ1118" s="19" t="s">
        <v>160</v>
      </c>
      <c r="BB1118" s="19"/>
      <c r="BC1118" s="19"/>
      <c r="BD1118" s="19"/>
      <c r="BE1118" s="19"/>
    </row>
    <row r="1119" spans="1:57" x14ac:dyDescent="0.25">
      <c r="A1119" s="6" t="s">
        <v>8</v>
      </c>
      <c r="B1119" s="9">
        <v>98160</v>
      </c>
      <c r="C1119" s="9" t="s">
        <v>1523</v>
      </c>
      <c r="D1119" s="9" t="s">
        <v>1524</v>
      </c>
      <c r="E1119" s="3">
        <v>59.299799999999998</v>
      </c>
      <c r="F1119" s="3">
        <v>18.705200000000001</v>
      </c>
      <c r="G1119" s="9">
        <v>1</v>
      </c>
      <c r="H1119" s="3" t="s">
        <v>150</v>
      </c>
      <c r="I1119" s="6" t="s">
        <v>8</v>
      </c>
      <c r="J1119" s="21" t="s">
        <v>8</v>
      </c>
      <c r="K1119" s="3" t="s">
        <v>5</v>
      </c>
      <c r="L1119" s="5" t="s">
        <v>174</v>
      </c>
      <c r="M1119" s="5" t="s">
        <v>717</v>
      </c>
      <c r="N1119" s="19" t="s">
        <v>2592</v>
      </c>
      <c r="O1119" s="22"/>
      <c r="P1119" s="19" t="s">
        <v>160</v>
      </c>
      <c r="V1119" s="29"/>
      <c r="W1119" s="29"/>
      <c r="X1119" s="29"/>
      <c r="Y1119" s="29"/>
      <c r="Z1119" s="29"/>
      <c r="AA1119" s="29"/>
      <c r="AB1119" s="29"/>
      <c r="AC1119" s="29"/>
      <c r="AD1119" s="29"/>
      <c r="AE1119" s="29"/>
      <c r="AF1119" s="29"/>
      <c r="AG1119" s="29"/>
      <c r="AH1119" s="29"/>
      <c r="AI1119" s="29"/>
      <c r="AJ1119" s="29"/>
      <c r="AK1119" s="29"/>
      <c r="AL1119" s="29"/>
      <c r="AM1119" s="29"/>
      <c r="AN1119" s="29"/>
      <c r="AO1119" s="29"/>
      <c r="AP1119" s="29"/>
      <c r="AQ1119" s="29"/>
      <c r="AR1119" s="29"/>
      <c r="AS1119" s="29"/>
      <c r="AT1119" s="29"/>
      <c r="AU1119" s="29"/>
      <c r="AV1119" s="29" t="s">
        <v>160</v>
      </c>
      <c r="BB1119" s="19"/>
      <c r="BC1119" s="19"/>
      <c r="BD1119" s="19"/>
      <c r="BE1119" s="19"/>
    </row>
    <row r="1120" spans="1:57" x14ac:dyDescent="0.25">
      <c r="A1120" s="6" t="s">
        <v>8</v>
      </c>
      <c r="B1120" s="9">
        <v>38034</v>
      </c>
      <c r="C1120" s="9" t="s">
        <v>2344</v>
      </c>
      <c r="D1120" s="62" t="s">
        <v>2331</v>
      </c>
      <c r="E1120" s="3" t="s">
        <v>16</v>
      </c>
      <c r="F1120" s="3" t="s">
        <v>16</v>
      </c>
      <c r="H1120" s="9" t="s">
        <v>150</v>
      </c>
      <c r="I1120" s="7" t="s">
        <v>2350</v>
      </c>
      <c r="J1120" s="7" t="s">
        <v>8</v>
      </c>
      <c r="K1120" s="6" t="s">
        <v>124</v>
      </c>
      <c r="L1120" s="7" t="s">
        <v>2353</v>
      </c>
      <c r="M1120" s="5" t="s">
        <v>2653</v>
      </c>
      <c r="N1120" s="19" t="s">
        <v>1696</v>
      </c>
      <c r="O1120" s="22"/>
      <c r="P1120" s="19" t="s">
        <v>160</v>
      </c>
      <c r="S1120" s="19" t="s">
        <v>160</v>
      </c>
      <c r="T1120" s="19" t="s">
        <v>160</v>
      </c>
      <c r="V1120" s="7"/>
      <c r="X1120" s="19" t="s">
        <v>160</v>
      </c>
      <c r="Y1120" s="5" t="s">
        <v>160</v>
      </c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19" t="s">
        <v>160</v>
      </c>
      <c r="AM1120" s="19" t="s">
        <v>160</v>
      </c>
      <c r="AR1120" s="19" t="s">
        <v>160</v>
      </c>
      <c r="AS1120" s="19" t="s">
        <v>160</v>
      </c>
      <c r="BB1120" s="19"/>
      <c r="BC1120" s="19"/>
      <c r="BD1120" s="19"/>
      <c r="BE1120" s="19"/>
    </row>
    <row r="1121" spans="1:57" x14ac:dyDescent="0.25">
      <c r="A1121" s="6" t="s">
        <v>8</v>
      </c>
      <c r="B1121" s="9">
        <v>38035</v>
      </c>
      <c r="C1121" s="9" t="s">
        <v>1975</v>
      </c>
      <c r="D1121" s="62" t="s">
        <v>2332</v>
      </c>
      <c r="E1121" s="3" t="s">
        <v>16</v>
      </c>
      <c r="F1121" s="3" t="s">
        <v>16</v>
      </c>
      <c r="H1121" s="9" t="s">
        <v>150</v>
      </c>
      <c r="I1121" s="7" t="s">
        <v>2350</v>
      </c>
      <c r="J1121" s="7" t="s">
        <v>8</v>
      </c>
      <c r="K1121" s="6" t="s">
        <v>124</v>
      </c>
      <c r="L1121" s="7" t="s">
        <v>2353</v>
      </c>
      <c r="M1121" s="5" t="s">
        <v>2653</v>
      </c>
      <c r="N1121" s="19" t="s">
        <v>1696</v>
      </c>
      <c r="O1121" s="22"/>
      <c r="P1121" s="19" t="s">
        <v>160</v>
      </c>
      <c r="S1121" s="19" t="s">
        <v>160</v>
      </c>
      <c r="T1121" s="19" t="s">
        <v>160</v>
      </c>
      <c r="V1121" s="7"/>
      <c r="X1121" s="19" t="s">
        <v>160</v>
      </c>
      <c r="Y1121" s="5" t="s">
        <v>160</v>
      </c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19" t="s">
        <v>160</v>
      </c>
      <c r="AM1121" s="19" t="s">
        <v>160</v>
      </c>
      <c r="AR1121" s="19" t="s">
        <v>160</v>
      </c>
      <c r="AS1121" s="19" t="s">
        <v>160</v>
      </c>
      <c r="BB1121" s="19"/>
      <c r="BC1121" s="19"/>
      <c r="BD1121" s="19"/>
      <c r="BE1121" s="19"/>
    </row>
    <row r="1122" spans="1:57" x14ac:dyDescent="0.25">
      <c r="A1122" s="6" t="s">
        <v>8</v>
      </c>
      <c r="B1122" s="9">
        <v>38033</v>
      </c>
      <c r="C1122" s="9" t="s">
        <v>1976</v>
      </c>
      <c r="D1122" s="62" t="s">
        <v>1977</v>
      </c>
      <c r="E1122" s="3" t="s">
        <v>16</v>
      </c>
      <c r="F1122" s="3" t="s">
        <v>16</v>
      </c>
      <c r="H1122" s="9" t="s">
        <v>150</v>
      </c>
      <c r="I1122" s="7" t="s">
        <v>2350</v>
      </c>
      <c r="J1122" s="7" t="s">
        <v>8</v>
      </c>
      <c r="K1122" s="6" t="s">
        <v>124</v>
      </c>
      <c r="L1122" s="7" t="s">
        <v>2353</v>
      </c>
      <c r="M1122" s="5" t="s">
        <v>2653</v>
      </c>
      <c r="N1122" s="19" t="s">
        <v>1696</v>
      </c>
      <c r="O1122" s="22"/>
      <c r="P1122" s="19" t="s">
        <v>160</v>
      </c>
      <c r="S1122" s="19" t="s">
        <v>160</v>
      </c>
      <c r="T1122" s="19" t="s">
        <v>160</v>
      </c>
      <c r="V1122" s="7"/>
      <c r="X1122" s="19" t="s">
        <v>160</v>
      </c>
      <c r="Y1122" s="5" t="s">
        <v>160</v>
      </c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19" t="s">
        <v>160</v>
      </c>
      <c r="AM1122" s="19" t="s">
        <v>160</v>
      </c>
      <c r="AR1122" s="19" t="s">
        <v>160</v>
      </c>
      <c r="AS1122" s="19" t="s">
        <v>160</v>
      </c>
      <c r="BB1122" s="19"/>
      <c r="BC1122" s="19"/>
      <c r="BD1122" s="19"/>
      <c r="BE1122" s="19"/>
    </row>
    <row r="1123" spans="1:57" x14ac:dyDescent="0.25">
      <c r="A1123" s="6" t="s">
        <v>8</v>
      </c>
      <c r="B1123" s="27">
        <v>38036</v>
      </c>
      <c r="C1123" s="9" t="s">
        <v>2342</v>
      </c>
      <c r="D1123" s="62" t="s">
        <v>2333</v>
      </c>
      <c r="E1123" s="3" t="s">
        <v>16</v>
      </c>
      <c r="F1123" s="3" t="s">
        <v>16</v>
      </c>
      <c r="H1123" s="9" t="s">
        <v>150</v>
      </c>
      <c r="I1123" s="7" t="s">
        <v>2350</v>
      </c>
      <c r="J1123" s="7" t="s">
        <v>8</v>
      </c>
      <c r="K1123" s="6" t="s">
        <v>124</v>
      </c>
      <c r="L1123" s="7" t="s">
        <v>2064</v>
      </c>
      <c r="M1123" s="5" t="s">
        <v>2653</v>
      </c>
      <c r="N1123" s="19" t="s">
        <v>1696</v>
      </c>
      <c r="O1123" s="22"/>
      <c r="P1123" s="19" t="s">
        <v>160</v>
      </c>
      <c r="S1123" s="19" t="s">
        <v>160</v>
      </c>
      <c r="T1123" s="19" t="s">
        <v>160</v>
      </c>
      <c r="V1123" s="7"/>
      <c r="Y1123" s="5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19" t="s">
        <v>160</v>
      </c>
      <c r="AM1123" s="19" t="s">
        <v>160</v>
      </c>
      <c r="AR1123" s="19" t="s">
        <v>160</v>
      </c>
      <c r="AS1123" s="19" t="s">
        <v>160</v>
      </c>
      <c r="BB1123" s="19"/>
      <c r="BC1123" s="19"/>
      <c r="BD1123" s="19"/>
      <c r="BE1123" s="19"/>
    </row>
    <row r="1124" spans="1:57" x14ac:dyDescent="0.25">
      <c r="A1124" s="6" t="s">
        <v>8</v>
      </c>
      <c r="B1124" s="9">
        <v>38037</v>
      </c>
      <c r="C1124" s="9" t="s">
        <v>1978</v>
      </c>
      <c r="D1124" s="62" t="s">
        <v>1979</v>
      </c>
      <c r="E1124" s="3" t="s">
        <v>16</v>
      </c>
      <c r="F1124" s="3" t="s">
        <v>16</v>
      </c>
      <c r="H1124" s="9" t="s">
        <v>150</v>
      </c>
      <c r="I1124" s="7" t="s">
        <v>2350</v>
      </c>
      <c r="J1124" s="7" t="s">
        <v>8</v>
      </c>
      <c r="K1124" s="6" t="s">
        <v>124</v>
      </c>
      <c r="L1124" s="7" t="s">
        <v>2353</v>
      </c>
      <c r="M1124" s="5" t="s">
        <v>2653</v>
      </c>
      <c r="N1124" s="19" t="s">
        <v>1696</v>
      </c>
      <c r="O1124" s="22"/>
      <c r="P1124" s="19" t="s">
        <v>160</v>
      </c>
      <c r="S1124" s="19" t="s">
        <v>160</v>
      </c>
      <c r="T1124" s="19" t="s">
        <v>160</v>
      </c>
      <c r="V1124" s="7"/>
      <c r="X1124" s="19" t="s">
        <v>160</v>
      </c>
      <c r="Y1124" s="5" t="s">
        <v>160</v>
      </c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19" t="s">
        <v>160</v>
      </c>
      <c r="AM1124" s="19" t="s">
        <v>160</v>
      </c>
      <c r="AR1124" s="19" t="s">
        <v>160</v>
      </c>
      <c r="AS1124" s="19" t="s">
        <v>160</v>
      </c>
      <c r="BB1124" s="19"/>
      <c r="BC1124" s="19"/>
      <c r="BD1124" s="19"/>
      <c r="BE1124" s="19"/>
    </row>
    <row r="1125" spans="1:57" x14ac:dyDescent="0.25">
      <c r="A1125" s="6" t="s">
        <v>8</v>
      </c>
      <c r="B1125" s="9">
        <v>38057</v>
      </c>
      <c r="C1125" s="9" t="s">
        <v>1980</v>
      </c>
      <c r="D1125" s="62" t="s">
        <v>1981</v>
      </c>
      <c r="E1125" s="30" t="s">
        <v>16</v>
      </c>
      <c r="F1125" s="30" t="s">
        <v>16</v>
      </c>
      <c r="H1125" s="9" t="s">
        <v>150</v>
      </c>
      <c r="I1125" s="7" t="s">
        <v>2350</v>
      </c>
      <c r="J1125" s="7" t="s">
        <v>8</v>
      </c>
      <c r="K1125" s="6" t="s">
        <v>124</v>
      </c>
      <c r="L1125" s="7" t="s">
        <v>2353</v>
      </c>
      <c r="M1125" s="5" t="s">
        <v>2653</v>
      </c>
      <c r="N1125" s="19" t="s">
        <v>1130</v>
      </c>
      <c r="O1125" s="22"/>
      <c r="P1125" s="19" t="s">
        <v>160</v>
      </c>
      <c r="S1125" s="19" t="s">
        <v>160</v>
      </c>
      <c r="T1125" s="19" t="s">
        <v>160</v>
      </c>
      <c r="V1125" s="7"/>
      <c r="X1125" s="19" t="s">
        <v>160</v>
      </c>
      <c r="Y1125" s="5" t="s">
        <v>160</v>
      </c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19" t="s">
        <v>160</v>
      </c>
      <c r="AM1125" s="19" t="s">
        <v>160</v>
      </c>
      <c r="AR1125" s="19" t="s">
        <v>160</v>
      </c>
      <c r="AS1125" s="19" t="s">
        <v>160</v>
      </c>
      <c r="BB1125" s="19"/>
      <c r="BC1125" s="19"/>
      <c r="BD1125" s="19"/>
      <c r="BE1125" s="19"/>
    </row>
    <row r="1126" spans="1:57" x14ac:dyDescent="0.25">
      <c r="A1126" s="6" t="s">
        <v>8</v>
      </c>
      <c r="B1126" s="27">
        <v>38038</v>
      </c>
      <c r="C1126" s="28" t="s">
        <v>2343</v>
      </c>
      <c r="D1126" s="62" t="s">
        <v>2334</v>
      </c>
      <c r="E1126" s="30" t="s">
        <v>16</v>
      </c>
      <c r="F1126" s="30" t="s">
        <v>16</v>
      </c>
      <c r="H1126" s="9" t="s">
        <v>150</v>
      </c>
      <c r="I1126" s="7" t="s">
        <v>2350</v>
      </c>
      <c r="J1126" s="7" t="s">
        <v>8</v>
      </c>
      <c r="K1126" s="6" t="s">
        <v>124</v>
      </c>
      <c r="L1126" s="7" t="s">
        <v>2064</v>
      </c>
      <c r="M1126" s="5" t="s">
        <v>2653</v>
      </c>
      <c r="N1126" s="19" t="s">
        <v>1696</v>
      </c>
      <c r="O1126" s="22"/>
      <c r="P1126" s="19" t="s">
        <v>160</v>
      </c>
      <c r="S1126" s="19" t="s">
        <v>160</v>
      </c>
      <c r="T1126" s="19" t="s">
        <v>160</v>
      </c>
      <c r="V1126" s="7"/>
      <c r="Y1126" s="5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19" t="s">
        <v>160</v>
      </c>
      <c r="AM1126" s="19" t="s">
        <v>160</v>
      </c>
      <c r="AR1126" s="19" t="s">
        <v>160</v>
      </c>
      <c r="AS1126" s="19" t="s">
        <v>160</v>
      </c>
      <c r="BB1126" s="19"/>
      <c r="BC1126" s="19"/>
      <c r="BD1126" s="19"/>
      <c r="BE1126" s="19"/>
    </row>
    <row r="1127" spans="1:57" x14ac:dyDescent="0.25">
      <c r="A1127" s="6" t="s">
        <v>8</v>
      </c>
      <c r="B1127" s="27">
        <v>38039</v>
      </c>
      <c r="C1127" s="28" t="s">
        <v>2345</v>
      </c>
      <c r="D1127" s="31" t="s">
        <v>2335</v>
      </c>
      <c r="E1127" s="30" t="s">
        <v>16</v>
      </c>
      <c r="F1127" s="30" t="s">
        <v>16</v>
      </c>
      <c r="H1127" s="9" t="s">
        <v>150</v>
      </c>
      <c r="I1127" s="7" t="s">
        <v>2350</v>
      </c>
      <c r="J1127" s="7" t="s">
        <v>8</v>
      </c>
      <c r="K1127" s="6" t="s">
        <v>124</v>
      </c>
      <c r="L1127" s="7" t="s">
        <v>2064</v>
      </c>
      <c r="M1127" s="5" t="s">
        <v>2653</v>
      </c>
      <c r="N1127" s="19" t="s">
        <v>1161</v>
      </c>
      <c r="O1127" s="22"/>
      <c r="P1127" s="19" t="s">
        <v>160</v>
      </c>
      <c r="S1127" s="19" t="s">
        <v>160</v>
      </c>
      <c r="T1127" s="19" t="s">
        <v>160</v>
      </c>
      <c r="V1127" s="7"/>
      <c r="Y1127" s="5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19" t="s">
        <v>160</v>
      </c>
      <c r="AM1127" s="19" t="s">
        <v>160</v>
      </c>
      <c r="AR1127" s="19" t="s">
        <v>160</v>
      </c>
      <c r="AS1127" s="19" t="s">
        <v>160</v>
      </c>
      <c r="BB1127" s="19"/>
      <c r="BC1127" s="19"/>
      <c r="BD1127" s="19"/>
      <c r="BE1127" s="19"/>
    </row>
    <row r="1128" spans="1:57" x14ac:dyDescent="0.25">
      <c r="A1128" s="6" t="s">
        <v>8</v>
      </c>
      <c r="B1128" s="9">
        <v>38040</v>
      </c>
      <c r="C1128" s="9" t="s">
        <v>1982</v>
      </c>
      <c r="D1128" s="62" t="s">
        <v>1983</v>
      </c>
      <c r="E1128" s="30" t="s">
        <v>16</v>
      </c>
      <c r="F1128" s="30" t="s">
        <v>16</v>
      </c>
      <c r="H1128" s="9" t="s">
        <v>150</v>
      </c>
      <c r="I1128" s="9" t="s">
        <v>2350</v>
      </c>
      <c r="J1128" s="7" t="s">
        <v>8</v>
      </c>
      <c r="K1128" s="6" t="s">
        <v>124</v>
      </c>
      <c r="L1128" s="7" t="s">
        <v>2353</v>
      </c>
      <c r="M1128" s="5" t="s">
        <v>717</v>
      </c>
      <c r="N1128" s="19">
        <v>2017</v>
      </c>
      <c r="O1128" s="22"/>
      <c r="P1128" s="19" t="s">
        <v>160</v>
      </c>
      <c r="S1128" s="19" t="s">
        <v>160</v>
      </c>
      <c r="T1128" s="19" t="s">
        <v>160</v>
      </c>
      <c r="V1128" s="7"/>
      <c r="X1128" s="19" t="s">
        <v>160</v>
      </c>
      <c r="Y1128" s="5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19" t="s">
        <v>160</v>
      </c>
      <c r="AR1128" s="19" t="s">
        <v>160</v>
      </c>
      <c r="BB1128" s="19"/>
      <c r="BC1128" s="19"/>
      <c r="BD1128" s="19"/>
      <c r="BE1128" s="19"/>
    </row>
    <row r="1129" spans="1:57" x14ac:dyDescent="0.25">
      <c r="A1129" s="6" t="s">
        <v>8</v>
      </c>
      <c r="B1129" s="9">
        <v>38041</v>
      </c>
      <c r="C1129" s="9" t="s">
        <v>1984</v>
      </c>
      <c r="D1129" s="62" t="s">
        <v>1985</v>
      </c>
      <c r="E1129" s="30" t="s">
        <v>16</v>
      </c>
      <c r="F1129" s="30" t="s">
        <v>16</v>
      </c>
      <c r="H1129" s="9" t="s">
        <v>150</v>
      </c>
      <c r="I1129" s="7" t="s">
        <v>2350</v>
      </c>
      <c r="J1129" s="7" t="s">
        <v>8</v>
      </c>
      <c r="K1129" s="6" t="s">
        <v>124</v>
      </c>
      <c r="L1129" s="7" t="s">
        <v>2353</v>
      </c>
      <c r="M1129" s="5" t="s">
        <v>2653</v>
      </c>
      <c r="N1129" s="19" t="s">
        <v>1696</v>
      </c>
      <c r="O1129" s="22"/>
      <c r="P1129" s="19" t="s">
        <v>160</v>
      </c>
      <c r="S1129" s="19" t="s">
        <v>160</v>
      </c>
      <c r="T1129" s="19" t="s">
        <v>160</v>
      </c>
      <c r="V1129" s="7"/>
      <c r="X1129" s="19" t="s">
        <v>160</v>
      </c>
      <c r="Y1129" s="5" t="s">
        <v>160</v>
      </c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19" t="s">
        <v>160</v>
      </c>
      <c r="AM1129" s="19" t="s">
        <v>160</v>
      </c>
      <c r="AR1129" s="19" t="s">
        <v>160</v>
      </c>
      <c r="AS1129" s="19" t="s">
        <v>160</v>
      </c>
      <c r="BB1129" s="19"/>
      <c r="BC1129" s="19"/>
      <c r="BD1129" s="19"/>
      <c r="BE1129" s="19"/>
    </row>
    <row r="1130" spans="1:57" x14ac:dyDescent="0.25">
      <c r="A1130" s="6" t="s">
        <v>8</v>
      </c>
      <c r="B1130" s="9">
        <v>38044</v>
      </c>
      <c r="C1130" s="9" t="s">
        <v>1986</v>
      </c>
      <c r="D1130" s="62" t="s">
        <v>1987</v>
      </c>
      <c r="E1130" s="30" t="s">
        <v>16</v>
      </c>
      <c r="F1130" s="30" t="s">
        <v>16</v>
      </c>
      <c r="H1130" s="9" t="s">
        <v>150</v>
      </c>
      <c r="I1130" s="9" t="s">
        <v>2350</v>
      </c>
      <c r="J1130" s="7" t="s">
        <v>8</v>
      </c>
      <c r="K1130" s="6" t="s">
        <v>124</v>
      </c>
      <c r="L1130" s="7" t="s">
        <v>2064</v>
      </c>
      <c r="M1130" s="5" t="s">
        <v>717</v>
      </c>
      <c r="N1130" s="19" t="s">
        <v>2356</v>
      </c>
      <c r="O1130" s="22"/>
      <c r="P1130" s="19" t="s">
        <v>160</v>
      </c>
      <c r="S1130" s="19" t="s">
        <v>160</v>
      </c>
      <c r="T1130" s="19" t="s">
        <v>160</v>
      </c>
      <c r="V1130" s="7"/>
      <c r="Y1130" s="5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19" t="s">
        <v>160</v>
      </c>
      <c r="AR1130" s="19" t="s">
        <v>160</v>
      </c>
      <c r="BB1130" s="19"/>
      <c r="BC1130" s="19"/>
      <c r="BD1130" s="19"/>
      <c r="BE1130" s="19"/>
    </row>
    <row r="1131" spans="1:57" x14ac:dyDescent="0.25">
      <c r="A1131" s="6" t="s">
        <v>8</v>
      </c>
      <c r="B1131" s="9">
        <v>38042</v>
      </c>
      <c r="C1131" s="9" t="s">
        <v>1988</v>
      </c>
      <c r="D1131" s="62" t="s">
        <v>1989</v>
      </c>
      <c r="E1131" s="30" t="s">
        <v>16</v>
      </c>
      <c r="F1131" s="30" t="s">
        <v>16</v>
      </c>
      <c r="H1131" s="9" t="s">
        <v>150</v>
      </c>
      <c r="I1131" s="9" t="s">
        <v>2350</v>
      </c>
      <c r="J1131" s="7" t="s">
        <v>8</v>
      </c>
      <c r="K1131" s="6" t="s">
        <v>124</v>
      </c>
      <c r="L1131" s="7" t="s">
        <v>2353</v>
      </c>
      <c r="M1131" s="5" t="s">
        <v>717</v>
      </c>
      <c r="N1131" s="19" t="s">
        <v>2357</v>
      </c>
      <c r="O1131" s="22"/>
      <c r="P1131" s="19" t="s">
        <v>160</v>
      </c>
      <c r="S1131" s="19" t="s">
        <v>160</v>
      </c>
      <c r="T1131" s="19" t="s">
        <v>160</v>
      </c>
      <c r="V1131" s="7"/>
      <c r="X1131" s="19" t="s">
        <v>160</v>
      </c>
      <c r="Y1131" s="5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19" t="s">
        <v>160</v>
      </c>
      <c r="AR1131" s="19" t="s">
        <v>160</v>
      </c>
      <c r="BB1131" s="19"/>
      <c r="BC1131" s="19"/>
      <c r="BD1131" s="19"/>
      <c r="BE1131" s="19"/>
    </row>
    <row r="1132" spans="1:57" x14ac:dyDescent="0.25">
      <c r="A1132" s="6" t="s">
        <v>8</v>
      </c>
      <c r="B1132" s="9">
        <v>38043</v>
      </c>
      <c r="C1132" s="9" t="s">
        <v>2326</v>
      </c>
      <c r="D1132" s="62" t="s">
        <v>2327</v>
      </c>
      <c r="E1132" s="30" t="s">
        <v>16</v>
      </c>
      <c r="F1132" s="30" t="s">
        <v>16</v>
      </c>
      <c r="H1132" s="9" t="s">
        <v>150</v>
      </c>
      <c r="I1132" s="7" t="s">
        <v>2350</v>
      </c>
      <c r="J1132" s="7" t="s">
        <v>8</v>
      </c>
      <c r="K1132" s="6" t="s">
        <v>124</v>
      </c>
      <c r="L1132" s="7" t="s">
        <v>2064</v>
      </c>
      <c r="M1132" s="5" t="s">
        <v>2653</v>
      </c>
      <c r="N1132" s="19" t="s">
        <v>1696</v>
      </c>
      <c r="O1132" s="22"/>
      <c r="P1132" s="19" t="s">
        <v>160</v>
      </c>
      <c r="S1132" s="19" t="s">
        <v>160</v>
      </c>
      <c r="T1132" s="19" t="s">
        <v>160</v>
      </c>
      <c r="V1132" s="7"/>
      <c r="Y1132" s="5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19" t="s">
        <v>160</v>
      </c>
      <c r="AM1132" s="19" t="s">
        <v>160</v>
      </c>
      <c r="AR1132" s="19" t="s">
        <v>160</v>
      </c>
      <c r="AS1132" s="19" t="s">
        <v>160</v>
      </c>
      <c r="BB1132" s="19"/>
      <c r="BC1132" s="19"/>
      <c r="BD1132" s="19"/>
      <c r="BE1132" s="19"/>
    </row>
    <row r="1133" spans="1:57" x14ac:dyDescent="0.25">
      <c r="A1133" s="6" t="s">
        <v>8</v>
      </c>
      <c r="B1133" s="9">
        <v>38009</v>
      </c>
      <c r="C1133" s="9" t="s">
        <v>1990</v>
      </c>
      <c r="D1133" s="77" t="s">
        <v>1991</v>
      </c>
      <c r="E1133" s="30" t="s">
        <v>16</v>
      </c>
      <c r="F1133" s="30" t="s">
        <v>16</v>
      </c>
      <c r="H1133" s="9" t="s">
        <v>150</v>
      </c>
      <c r="I1133" s="9" t="s">
        <v>2350</v>
      </c>
      <c r="J1133" s="7" t="s">
        <v>8</v>
      </c>
      <c r="K1133" s="6" t="s">
        <v>124</v>
      </c>
      <c r="L1133" s="7" t="s">
        <v>2358</v>
      </c>
      <c r="M1133" s="5" t="s">
        <v>717</v>
      </c>
      <c r="N1133" s="19" t="s">
        <v>2352</v>
      </c>
      <c r="O1133" s="22"/>
      <c r="P1133" s="19" t="s">
        <v>160</v>
      </c>
      <c r="S1133" s="19" t="s">
        <v>160</v>
      </c>
      <c r="T1133" s="19" t="s">
        <v>160</v>
      </c>
      <c r="V1133" s="7"/>
      <c r="X1133" s="19" t="s">
        <v>160</v>
      </c>
      <c r="Y1133" s="5"/>
      <c r="Z1133" s="7" t="s">
        <v>160</v>
      </c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19" t="s">
        <v>160</v>
      </c>
      <c r="AR1133" s="19" t="s">
        <v>160</v>
      </c>
      <c r="BB1133" s="19"/>
      <c r="BC1133" s="19"/>
      <c r="BD1133" s="19"/>
      <c r="BE1133" s="19"/>
    </row>
    <row r="1134" spans="1:57" x14ac:dyDescent="0.25">
      <c r="A1134" s="6" t="s">
        <v>8</v>
      </c>
      <c r="B1134" s="9">
        <v>38045</v>
      </c>
      <c r="C1134" s="9" t="s">
        <v>1992</v>
      </c>
      <c r="D1134" s="62" t="s">
        <v>1993</v>
      </c>
      <c r="E1134" s="30" t="s">
        <v>16</v>
      </c>
      <c r="F1134" s="30" t="s">
        <v>16</v>
      </c>
      <c r="H1134" s="9" t="s">
        <v>150</v>
      </c>
      <c r="I1134" s="9" t="s">
        <v>2350</v>
      </c>
      <c r="J1134" s="7" t="s">
        <v>8</v>
      </c>
      <c r="K1134" s="6" t="s">
        <v>124</v>
      </c>
      <c r="L1134" s="7" t="s">
        <v>2353</v>
      </c>
      <c r="M1134" s="5" t="s">
        <v>717</v>
      </c>
      <c r="N1134" s="19" t="s">
        <v>2357</v>
      </c>
      <c r="O1134" s="22"/>
      <c r="P1134" s="19" t="s">
        <v>160</v>
      </c>
      <c r="S1134" s="19" t="s">
        <v>160</v>
      </c>
      <c r="T1134" s="19" t="s">
        <v>160</v>
      </c>
      <c r="V1134" s="7"/>
      <c r="X1134" s="19" t="s">
        <v>160</v>
      </c>
      <c r="Y1134" s="5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19" t="s">
        <v>160</v>
      </c>
      <c r="AR1134" s="19" t="s">
        <v>160</v>
      </c>
      <c r="BB1134" s="19"/>
      <c r="BC1134" s="19"/>
      <c r="BD1134" s="19"/>
      <c r="BE1134" s="19"/>
    </row>
    <row r="1135" spans="1:57" x14ac:dyDescent="0.25">
      <c r="A1135" s="6" t="s">
        <v>8</v>
      </c>
      <c r="B1135" s="27">
        <v>38032</v>
      </c>
      <c r="C1135" s="9" t="s">
        <v>2341</v>
      </c>
      <c r="D1135" s="62" t="s">
        <v>2330</v>
      </c>
      <c r="E1135" s="30" t="s">
        <v>16</v>
      </c>
      <c r="F1135" s="30" t="s">
        <v>16</v>
      </c>
      <c r="H1135" s="9" t="s">
        <v>150</v>
      </c>
      <c r="I1135" s="9" t="s">
        <v>2350</v>
      </c>
      <c r="J1135" s="7" t="s">
        <v>8</v>
      </c>
      <c r="K1135" s="6" t="s">
        <v>124</v>
      </c>
      <c r="L1135" s="7" t="s">
        <v>2064</v>
      </c>
      <c r="M1135" s="5" t="s">
        <v>717</v>
      </c>
      <c r="N1135" s="19" t="s">
        <v>2351</v>
      </c>
      <c r="O1135" s="22"/>
      <c r="P1135" s="19" t="s">
        <v>160</v>
      </c>
      <c r="S1135" s="19" t="s">
        <v>160</v>
      </c>
      <c r="T1135" s="19" t="s">
        <v>160</v>
      </c>
      <c r="V1135" s="7"/>
      <c r="Y1135" s="5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19" t="s">
        <v>160</v>
      </c>
      <c r="AR1135" s="19" t="s">
        <v>160</v>
      </c>
      <c r="BB1135" s="19"/>
      <c r="BC1135" s="19"/>
      <c r="BD1135" s="19"/>
      <c r="BE1135" s="19"/>
    </row>
    <row r="1136" spans="1:57" x14ac:dyDescent="0.25">
      <c r="A1136" s="6" t="s">
        <v>8</v>
      </c>
      <c r="B1136" s="33" t="s">
        <v>875</v>
      </c>
      <c r="C1136" s="33" t="s">
        <v>2355</v>
      </c>
      <c r="D1136" s="78" t="s">
        <v>2354</v>
      </c>
      <c r="E1136" s="30" t="s">
        <v>16</v>
      </c>
      <c r="F1136" s="30" t="s">
        <v>16</v>
      </c>
      <c r="H1136" s="9" t="s">
        <v>150</v>
      </c>
      <c r="I1136" s="7" t="s">
        <v>2350</v>
      </c>
      <c r="J1136" s="7" t="s">
        <v>8</v>
      </c>
      <c r="K1136" s="6" t="s">
        <v>124</v>
      </c>
      <c r="L1136" s="7" t="s">
        <v>2064</v>
      </c>
      <c r="M1136" s="7" t="s">
        <v>2653</v>
      </c>
      <c r="N1136" s="19" t="s">
        <v>1161</v>
      </c>
      <c r="O1136" s="22"/>
      <c r="V1136" s="7"/>
      <c r="Y1136" s="5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19" t="s">
        <v>160</v>
      </c>
      <c r="AM1136" s="19" t="s">
        <v>160</v>
      </c>
      <c r="AR1136" s="19" t="s">
        <v>160</v>
      </c>
      <c r="AS1136" s="19" t="s">
        <v>160</v>
      </c>
      <c r="BB1136" s="19"/>
      <c r="BC1136" s="19"/>
      <c r="BD1136" s="19"/>
      <c r="BE1136" s="19"/>
    </row>
    <row r="1137" spans="1:57" x14ac:dyDescent="0.25">
      <c r="A1137" s="6" t="s">
        <v>8</v>
      </c>
      <c r="B1137" s="9">
        <v>38046</v>
      </c>
      <c r="C1137" s="9" t="s">
        <v>1994</v>
      </c>
      <c r="D1137" s="62" t="s">
        <v>1995</v>
      </c>
      <c r="E1137" s="30" t="s">
        <v>16</v>
      </c>
      <c r="F1137" s="30" t="s">
        <v>16</v>
      </c>
      <c r="H1137" s="9" t="s">
        <v>150</v>
      </c>
      <c r="I1137" s="7" t="s">
        <v>2350</v>
      </c>
      <c r="J1137" s="7" t="s">
        <v>8</v>
      </c>
      <c r="K1137" s="6" t="s">
        <v>124</v>
      </c>
      <c r="L1137" s="7" t="s">
        <v>2353</v>
      </c>
      <c r="M1137" s="5" t="s">
        <v>2653</v>
      </c>
      <c r="N1137" s="19" t="s">
        <v>1696</v>
      </c>
      <c r="O1137" s="22"/>
      <c r="P1137" s="19" t="s">
        <v>160</v>
      </c>
      <c r="S1137" s="19" t="s">
        <v>160</v>
      </c>
      <c r="T1137" s="19" t="s">
        <v>160</v>
      </c>
      <c r="V1137" s="7"/>
      <c r="X1137" s="19" t="s">
        <v>160</v>
      </c>
      <c r="Y1137" s="5" t="s">
        <v>160</v>
      </c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19" t="s">
        <v>160</v>
      </c>
      <c r="AM1137" s="19" t="s">
        <v>160</v>
      </c>
      <c r="AR1137" s="19" t="s">
        <v>160</v>
      </c>
      <c r="AS1137" s="19" t="s">
        <v>160</v>
      </c>
      <c r="BB1137" s="19"/>
      <c r="BC1137" s="19"/>
      <c r="BD1137" s="19"/>
      <c r="BE1137" s="19"/>
    </row>
    <row r="1138" spans="1:57" x14ac:dyDescent="0.25">
      <c r="A1138" s="6" t="s">
        <v>8</v>
      </c>
      <c r="B1138" s="27">
        <v>38047</v>
      </c>
      <c r="C1138" s="28" t="s">
        <v>2346</v>
      </c>
      <c r="D1138" s="31" t="s">
        <v>2336</v>
      </c>
      <c r="E1138" s="30" t="s">
        <v>16</v>
      </c>
      <c r="F1138" s="30" t="s">
        <v>16</v>
      </c>
      <c r="H1138" s="9" t="s">
        <v>150</v>
      </c>
      <c r="I1138" s="7" t="s">
        <v>2350</v>
      </c>
      <c r="J1138" s="7" t="s">
        <v>8</v>
      </c>
      <c r="K1138" s="6" t="s">
        <v>124</v>
      </c>
      <c r="L1138" s="7" t="s">
        <v>2064</v>
      </c>
      <c r="M1138" s="5" t="s">
        <v>2653</v>
      </c>
      <c r="N1138" s="19" t="s">
        <v>1696</v>
      </c>
      <c r="O1138" s="22"/>
      <c r="P1138" s="19" t="s">
        <v>160</v>
      </c>
      <c r="S1138" s="19" t="s">
        <v>160</v>
      </c>
      <c r="T1138" s="19" t="s">
        <v>160</v>
      </c>
      <c r="V1138" s="7"/>
      <c r="Y1138" s="5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19" t="s">
        <v>160</v>
      </c>
      <c r="AM1138" s="19" t="s">
        <v>160</v>
      </c>
      <c r="AR1138" s="19" t="s">
        <v>160</v>
      </c>
      <c r="AS1138" s="19" t="s">
        <v>160</v>
      </c>
      <c r="BB1138" s="19"/>
      <c r="BC1138" s="19"/>
      <c r="BD1138" s="19"/>
      <c r="BE1138" s="19"/>
    </row>
    <row r="1139" spans="1:57" x14ac:dyDescent="0.25">
      <c r="A1139" s="6" t="s">
        <v>8</v>
      </c>
      <c r="B1139" s="9">
        <v>38058</v>
      </c>
      <c r="C1139" s="9" t="s">
        <v>1996</v>
      </c>
      <c r="D1139" s="62" t="s">
        <v>1997</v>
      </c>
      <c r="E1139" s="30" t="s">
        <v>16</v>
      </c>
      <c r="F1139" s="30" t="s">
        <v>16</v>
      </c>
      <c r="H1139" s="9" t="s">
        <v>150</v>
      </c>
      <c r="I1139" s="7" t="s">
        <v>2350</v>
      </c>
      <c r="J1139" s="7" t="s">
        <v>8</v>
      </c>
      <c r="K1139" s="6" t="s">
        <v>124</v>
      </c>
      <c r="L1139" s="7" t="s">
        <v>2353</v>
      </c>
      <c r="M1139" s="5" t="s">
        <v>2653</v>
      </c>
      <c r="N1139" s="19" t="s">
        <v>1161</v>
      </c>
      <c r="O1139" s="22"/>
      <c r="P1139" s="19" t="s">
        <v>160</v>
      </c>
      <c r="S1139" s="19" t="s">
        <v>160</v>
      </c>
      <c r="T1139" s="19" t="s">
        <v>160</v>
      </c>
      <c r="V1139" s="7"/>
      <c r="X1139" s="19" t="s">
        <v>160</v>
      </c>
      <c r="Y1139" s="5" t="s">
        <v>160</v>
      </c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19" t="s">
        <v>160</v>
      </c>
      <c r="AM1139" s="19" t="s">
        <v>160</v>
      </c>
      <c r="AR1139" s="19" t="s">
        <v>160</v>
      </c>
      <c r="AS1139" s="19" t="s">
        <v>160</v>
      </c>
      <c r="BB1139" s="19"/>
      <c r="BC1139" s="19"/>
      <c r="BD1139" s="19"/>
      <c r="BE1139" s="19"/>
    </row>
    <row r="1140" spans="1:57" x14ac:dyDescent="0.25">
      <c r="A1140" s="6" t="s">
        <v>8</v>
      </c>
      <c r="B1140" s="27">
        <v>38031</v>
      </c>
      <c r="C1140" s="9" t="s">
        <v>2340</v>
      </c>
      <c r="D1140" s="64" t="s">
        <v>2329</v>
      </c>
      <c r="E1140" s="30" t="s">
        <v>16</v>
      </c>
      <c r="F1140" s="30" t="s">
        <v>16</v>
      </c>
      <c r="H1140" s="9" t="s">
        <v>150</v>
      </c>
      <c r="I1140" s="9" t="s">
        <v>2350</v>
      </c>
      <c r="J1140" s="7" t="s">
        <v>8</v>
      </c>
      <c r="K1140" s="6" t="s">
        <v>124</v>
      </c>
      <c r="L1140" s="7" t="s">
        <v>2064</v>
      </c>
      <c r="M1140" s="5" t="s">
        <v>717</v>
      </c>
      <c r="N1140" s="19" t="s">
        <v>2351</v>
      </c>
      <c r="O1140" s="22"/>
      <c r="P1140" s="19" t="s">
        <v>160</v>
      </c>
      <c r="S1140" s="19" t="s">
        <v>160</v>
      </c>
      <c r="T1140" s="19" t="s">
        <v>160</v>
      </c>
      <c r="V1140" s="7"/>
      <c r="Y1140" s="5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19" t="s">
        <v>160</v>
      </c>
      <c r="AR1140" s="19" t="s">
        <v>160</v>
      </c>
      <c r="BB1140" s="19"/>
      <c r="BC1140" s="19"/>
      <c r="BD1140" s="19"/>
      <c r="BE1140" s="19"/>
    </row>
    <row r="1141" spans="1:57" x14ac:dyDescent="0.25">
      <c r="A1141" s="6" t="s">
        <v>8</v>
      </c>
      <c r="B1141" s="9">
        <v>38048</v>
      </c>
      <c r="C1141" s="9" t="s">
        <v>1998</v>
      </c>
      <c r="D1141" s="62" t="s">
        <v>1999</v>
      </c>
      <c r="E1141" s="30" t="s">
        <v>16</v>
      </c>
      <c r="F1141" s="30" t="s">
        <v>16</v>
      </c>
      <c r="H1141" s="9" t="s">
        <v>150</v>
      </c>
      <c r="I1141" s="7" t="s">
        <v>2350</v>
      </c>
      <c r="J1141" s="7" t="s">
        <v>8</v>
      </c>
      <c r="K1141" s="6" t="s">
        <v>124</v>
      </c>
      <c r="L1141" s="7" t="s">
        <v>2353</v>
      </c>
      <c r="M1141" s="5" t="s">
        <v>2653</v>
      </c>
      <c r="N1141" s="19" t="s">
        <v>1696</v>
      </c>
      <c r="O1141" s="22"/>
      <c r="P1141" s="19" t="s">
        <v>160</v>
      </c>
      <c r="S1141" s="19" t="s">
        <v>160</v>
      </c>
      <c r="T1141" s="19" t="s">
        <v>160</v>
      </c>
      <c r="V1141" s="7"/>
      <c r="X1141" s="19" t="s">
        <v>160</v>
      </c>
      <c r="Y1141" s="5" t="s">
        <v>160</v>
      </c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19" t="s">
        <v>160</v>
      </c>
      <c r="AM1141" s="19" t="s">
        <v>160</v>
      </c>
      <c r="AR1141" s="19" t="s">
        <v>160</v>
      </c>
      <c r="AS1141" s="19" t="s">
        <v>160</v>
      </c>
      <c r="BB1141" s="19"/>
      <c r="BC1141" s="19"/>
      <c r="BD1141" s="19"/>
      <c r="BE1141" s="19"/>
    </row>
    <row r="1142" spans="1:57" x14ac:dyDescent="0.25">
      <c r="A1142" s="6" t="s">
        <v>8</v>
      </c>
      <c r="B1142" s="9">
        <v>38049</v>
      </c>
      <c r="C1142" s="9" t="s">
        <v>2000</v>
      </c>
      <c r="D1142" s="62" t="s">
        <v>2001</v>
      </c>
      <c r="E1142" s="30" t="s">
        <v>16</v>
      </c>
      <c r="F1142" s="30" t="s">
        <v>16</v>
      </c>
      <c r="H1142" s="9" t="s">
        <v>150</v>
      </c>
      <c r="I1142" s="7" t="s">
        <v>2350</v>
      </c>
      <c r="J1142" s="7" t="s">
        <v>8</v>
      </c>
      <c r="K1142" s="6" t="s">
        <v>124</v>
      </c>
      <c r="L1142" s="7" t="s">
        <v>2353</v>
      </c>
      <c r="M1142" s="5" t="s">
        <v>2653</v>
      </c>
      <c r="N1142" s="19" t="s">
        <v>1696</v>
      </c>
      <c r="O1142" s="22"/>
      <c r="P1142" s="19" t="s">
        <v>160</v>
      </c>
      <c r="S1142" s="19" t="s">
        <v>160</v>
      </c>
      <c r="T1142" s="19" t="s">
        <v>160</v>
      </c>
      <c r="V1142" s="7"/>
      <c r="X1142" s="19" t="s">
        <v>160</v>
      </c>
      <c r="Y1142" s="5" t="s">
        <v>160</v>
      </c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19" t="s">
        <v>160</v>
      </c>
      <c r="AM1142" s="19" t="s">
        <v>160</v>
      </c>
      <c r="AR1142" s="19" t="s">
        <v>160</v>
      </c>
      <c r="AS1142" s="19" t="s">
        <v>160</v>
      </c>
      <c r="BB1142" s="19"/>
      <c r="BC1142" s="19"/>
      <c r="BD1142" s="19"/>
      <c r="BE1142" s="19"/>
    </row>
    <row r="1143" spans="1:57" x14ac:dyDescent="0.25">
      <c r="A1143" s="6" t="s">
        <v>8</v>
      </c>
      <c r="B1143" s="9">
        <v>38050</v>
      </c>
      <c r="C1143" s="9" t="s">
        <v>2002</v>
      </c>
      <c r="D1143" s="62" t="s">
        <v>2337</v>
      </c>
      <c r="E1143" s="30" t="s">
        <v>16</v>
      </c>
      <c r="F1143" s="30" t="s">
        <v>16</v>
      </c>
      <c r="H1143" s="9" t="s">
        <v>150</v>
      </c>
      <c r="I1143" s="9" t="s">
        <v>2350</v>
      </c>
      <c r="J1143" s="7" t="s">
        <v>8</v>
      </c>
      <c r="K1143" s="6" t="s">
        <v>124</v>
      </c>
      <c r="L1143" s="7" t="s">
        <v>2353</v>
      </c>
      <c r="M1143" s="5" t="s">
        <v>717</v>
      </c>
      <c r="N1143" s="19" t="s">
        <v>2351</v>
      </c>
      <c r="O1143" s="22"/>
      <c r="P1143" s="19" t="s">
        <v>160</v>
      </c>
      <c r="S1143" s="19" t="s">
        <v>160</v>
      </c>
      <c r="T1143" s="19" t="s">
        <v>160</v>
      </c>
      <c r="V1143" s="7"/>
      <c r="X1143" s="19" t="s">
        <v>160</v>
      </c>
      <c r="Y1143" s="5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19" t="s">
        <v>160</v>
      </c>
      <c r="AR1143" s="19" t="s">
        <v>160</v>
      </c>
      <c r="BB1143" s="19"/>
      <c r="BC1143" s="19"/>
      <c r="BD1143" s="19"/>
      <c r="BE1143" s="19"/>
    </row>
    <row r="1144" spans="1:57" x14ac:dyDescent="0.25">
      <c r="A1144" s="6" t="s">
        <v>8</v>
      </c>
      <c r="B1144" s="27">
        <v>38051</v>
      </c>
      <c r="C1144" s="28" t="s">
        <v>2347</v>
      </c>
      <c r="D1144" s="31" t="s">
        <v>2338</v>
      </c>
      <c r="E1144" s="30" t="s">
        <v>16</v>
      </c>
      <c r="F1144" s="30" t="s">
        <v>16</v>
      </c>
      <c r="H1144" s="9" t="s">
        <v>150</v>
      </c>
      <c r="I1144" s="7" t="s">
        <v>2350</v>
      </c>
      <c r="J1144" s="7" t="s">
        <v>8</v>
      </c>
      <c r="K1144" s="6" t="s">
        <v>124</v>
      </c>
      <c r="L1144" s="7" t="s">
        <v>2064</v>
      </c>
      <c r="M1144" s="5" t="s">
        <v>2653</v>
      </c>
      <c r="N1144" s="19" t="s">
        <v>1696</v>
      </c>
      <c r="O1144" s="22"/>
      <c r="P1144" s="19" t="s">
        <v>160</v>
      </c>
      <c r="S1144" s="19" t="s">
        <v>160</v>
      </c>
      <c r="T1144" s="19" t="s">
        <v>160</v>
      </c>
      <c r="V1144" s="7"/>
      <c r="Y1144" s="5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19" t="s">
        <v>160</v>
      </c>
      <c r="AM1144" s="19" t="s">
        <v>160</v>
      </c>
      <c r="AR1144" s="19" t="s">
        <v>160</v>
      </c>
      <c r="AS1144" s="19" t="s">
        <v>160</v>
      </c>
      <c r="BB1144" s="19"/>
      <c r="BC1144" s="19"/>
      <c r="BD1144" s="19"/>
      <c r="BE1144" s="19"/>
    </row>
    <row r="1145" spans="1:57" x14ac:dyDescent="0.25">
      <c r="A1145" s="6" t="s">
        <v>8</v>
      </c>
      <c r="B1145" s="27">
        <v>38052</v>
      </c>
      <c r="C1145" s="28" t="s">
        <v>2348</v>
      </c>
      <c r="D1145" s="31" t="s">
        <v>2339</v>
      </c>
      <c r="E1145" s="30" t="s">
        <v>16</v>
      </c>
      <c r="F1145" s="30" t="s">
        <v>16</v>
      </c>
      <c r="H1145" s="9" t="s">
        <v>150</v>
      </c>
      <c r="I1145" s="7" t="s">
        <v>2350</v>
      </c>
      <c r="J1145" s="7" t="s">
        <v>8</v>
      </c>
      <c r="K1145" s="6" t="s">
        <v>124</v>
      </c>
      <c r="L1145" s="7" t="s">
        <v>2064</v>
      </c>
      <c r="M1145" s="5" t="s">
        <v>2653</v>
      </c>
      <c r="N1145" s="19" t="s">
        <v>1696</v>
      </c>
      <c r="O1145" s="22"/>
      <c r="P1145" s="19" t="s">
        <v>160</v>
      </c>
      <c r="S1145" s="19" t="s">
        <v>160</v>
      </c>
      <c r="T1145" s="19" t="s">
        <v>160</v>
      </c>
      <c r="V1145" s="7"/>
      <c r="Y1145" s="5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19" t="s">
        <v>160</v>
      </c>
      <c r="AM1145" s="19" t="s">
        <v>160</v>
      </c>
      <c r="AR1145" s="19" t="s">
        <v>160</v>
      </c>
      <c r="AS1145" s="19" t="s">
        <v>160</v>
      </c>
      <c r="BB1145" s="19"/>
      <c r="BC1145" s="19"/>
      <c r="BD1145" s="19"/>
      <c r="BE1145" s="19"/>
    </row>
    <row r="1146" spans="1:57" x14ac:dyDescent="0.25">
      <c r="A1146" s="6" t="s">
        <v>8</v>
      </c>
      <c r="B1146" s="9">
        <v>38056</v>
      </c>
      <c r="C1146" s="9" t="s">
        <v>2003</v>
      </c>
      <c r="D1146" s="62" t="s">
        <v>2004</v>
      </c>
      <c r="E1146" s="30" t="s">
        <v>16</v>
      </c>
      <c r="F1146" s="30" t="s">
        <v>16</v>
      </c>
      <c r="H1146" s="9" t="s">
        <v>150</v>
      </c>
      <c r="I1146" s="7" t="s">
        <v>2350</v>
      </c>
      <c r="J1146" s="7" t="s">
        <v>8</v>
      </c>
      <c r="K1146" s="6" t="s">
        <v>124</v>
      </c>
      <c r="L1146" s="7" t="s">
        <v>2353</v>
      </c>
      <c r="M1146" s="5" t="s">
        <v>2653</v>
      </c>
      <c r="N1146" s="19" t="s">
        <v>1161</v>
      </c>
      <c r="O1146" s="22"/>
      <c r="P1146" s="19" t="s">
        <v>160</v>
      </c>
      <c r="S1146" s="19" t="s">
        <v>160</v>
      </c>
      <c r="T1146" s="19" t="s">
        <v>160</v>
      </c>
      <c r="V1146" s="7"/>
      <c r="X1146" s="19" t="s">
        <v>160</v>
      </c>
      <c r="Y1146" s="5" t="s">
        <v>160</v>
      </c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19" t="s">
        <v>160</v>
      </c>
      <c r="AM1146" s="19" t="s">
        <v>160</v>
      </c>
      <c r="AR1146" s="19" t="s">
        <v>160</v>
      </c>
      <c r="AS1146" s="19" t="s">
        <v>160</v>
      </c>
      <c r="BB1146" s="19"/>
      <c r="BC1146" s="19"/>
      <c r="BD1146" s="19"/>
      <c r="BE1146" s="19"/>
    </row>
    <row r="1147" spans="1:57" x14ac:dyDescent="0.25">
      <c r="A1147" s="6" t="s">
        <v>8</v>
      </c>
      <c r="B1147" s="9">
        <v>38053</v>
      </c>
      <c r="C1147" s="9" t="s">
        <v>2005</v>
      </c>
      <c r="D1147" s="62" t="s">
        <v>2006</v>
      </c>
      <c r="E1147" s="30" t="s">
        <v>16</v>
      </c>
      <c r="F1147" s="30" t="s">
        <v>16</v>
      </c>
      <c r="H1147" s="9" t="s">
        <v>150</v>
      </c>
      <c r="I1147" s="7" t="s">
        <v>2350</v>
      </c>
      <c r="J1147" s="7" t="s">
        <v>8</v>
      </c>
      <c r="K1147" s="6" t="s">
        <v>124</v>
      </c>
      <c r="L1147" s="7" t="s">
        <v>2353</v>
      </c>
      <c r="M1147" s="7" t="s">
        <v>2653</v>
      </c>
      <c r="N1147" s="19" t="s">
        <v>1696</v>
      </c>
      <c r="O1147" s="22"/>
      <c r="P1147" s="19" t="s">
        <v>160</v>
      </c>
      <c r="S1147" s="19" t="s">
        <v>160</v>
      </c>
      <c r="T1147" s="19" t="s">
        <v>160</v>
      </c>
      <c r="V1147" s="7"/>
      <c r="X1147" s="19" t="s">
        <v>160</v>
      </c>
      <c r="Y1147" s="5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19" t="s">
        <v>160</v>
      </c>
      <c r="AM1147" s="19" t="s">
        <v>160</v>
      </c>
      <c r="AR1147" s="19" t="s">
        <v>160</v>
      </c>
      <c r="AS1147" s="19" t="s">
        <v>160</v>
      </c>
      <c r="BB1147" s="19"/>
      <c r="BC1147" s="19"/>
      <c r="BD1147" s="19"/>
      <c r="BE1147" s="19"/>
    </row>
    <row r="1148" spans="1:57" x14ac:dyDescent="0.25">
      <c r="A1148" s="6" t="s">
        <v>8</v>
      </c>
      <c r="B1148" s="9">
        <v>54400</v>
      </c>
      <c r="C1148" s="9" t="s">
        <v>2328</v>
      </c>
      <c r="D1148" s="9" t="s">
        <v>1525</v>
      </c>
      <c r="E1148" s="3">
        <v>55.6646</v>
      </c>
      <c r="F1148" s="3">
        <v>14.259499999999999</v>
      </c>
      <c r="G1148" s="9">
        <v>112</v>
      </c>
      <c r="H1148" s="9" t="s">
        <v>150</v>
      </c>
      <c r="I1148" s="6" t="s">
        <v>8</v>
      </c>
      <c r="J1148" s="21" t="s">
        <v>8</v>
      </c>
      <c r="K1148" s="3" t="s">
        <v>5</v>
      </c>
      <c r="L1148" s="5" t="s">
        <v>2680</v>
      </c>
      <c r="M1148" s="7" t="s">
        <v>717</v>
      </c>
      <c r="N1148" s="19" t="s">
        <v>2535</v>
      </c>
      <c r="O1148" s="22"/>
      <c r="P1148" s="19" t="s">
        <v>160</v>
      </c>
      <c r="AR1148" s="19" t="s">
        <v>160</v>
      </c>
      <c r="AT1148" s="19" t="s">
        <v>160</v>
      </c>
      <c r="AV1148" s="19" t="s">
        <v>160</v>
      </c>
      <c r="AX1148" s="19" t="s">
        <v>160</v>
      </c>
      <c r="AZ1148" s="19" t="s">
        <v>160</v>
      </c>
      <c r="BB1148" s="19"/>
      <c r="BC1148" s="19"/>
      <c r="BD1148" s="19"/>
      <c r="BE1148" s="19"/>
    </row>
    <row r="1149" spans="1:57" x14ac:dyDescent="0.25">
      <c r="A1149" s="6" t="s">
        <v>8</v>
      </c>
      <c r="B1149" s="9">
        <v>78360</v>
      </c>
      <c r="C1149" s="9" t="s">
        <v>2609</v>
      </c>
      <c r="D1149" s="9" t="s">
        <v>2610</v>
      </c>
      <c r="E1149" s="52">
        <v>57.597900000000003</v>
      </c>
      <c r="F1149" s="52">
        <v>18.450700000000001</v>
      </c>
      <c r="G1149" s="9">
        <v>45</v>
      </c>
      <c r="H1149" s="9"/>
      <c r="I1149" s="6" t="s">
        <v>8</v>
      </c>
      <c r="J1149" s="21" t="s">
        <v>8</v>
      </c>
      <c r="K1149" s="3" t="s">
        <v>5</v>
      </c>
      <c r="L1149" s="5" t="s">
        <v>2028</v>
      </c>
      <c r="M1149" s="7" t="s">
        <v>717</v>
      </c>
      <c r="N1149" s="19" t="s">
        <v>2606</v>
      </c>
      <c r="O1149" s="22"/>
      <c r="P1149" s="19" t="s">
        <v>160</v>
      </c>
      <c r="AT1149" s="19" t="s">
        <v>160</v>
      </c>
      <c r="BB1149" s="19"/>
      <c r="BC1149" s="19"/>
      <c r="BD1149" s="19"/>
      <c r="BE1149" s="19"/>
    </row>
    <row r="1150" spans="1:57" x14ac:dyDescent="0.25">
      <c r="A1150" s="9" t="s">
        <v>707</v>
      </c>
      <c r="B1150" s="137" t="s">
        <v>584</v>
      </c>
      <c r="C1150" s="23" t="s">
        <v>728</v>
      </c>
      <c r="D1150" s="40" t="s">
        <v>585</v>
      </c>
      <c r="E1150" s="46" t="s">
        <v>587</v>
      </c>
      <c r="F1150" s="46" t="s">
        <v>586</v>
      </c>
      <c r="G1150" s="40"/>
      <c r="H1150" s="9" t="s">
        <v>150</v>
      </c>
      <c r="I1150" s="41" t="s">
        <v>8</v>
      </c>
      <c r="J1150" s="41" t="s">
        <v>8</v>
      </c>
      <c r="K1150" s="40" t="s">
        <v>6</v>
      </c>
      <c r="L1150" s="41" t="s">
        <v>2030</v>
      </c>
      <c r="M1150" s="7" t="s">
        <v>2653</v>
      </c>
      <c r="N1150" s="42" t="s">
        <v>1132</v>
      </c>
      <c r="O1150" s="22"/>
      <c r="P1150" s="42" t="s">
        <v>160</v>
      </c>
      <c r="Q1150" s="44" t="s">
        <v>1180</v>
      </c>
      <c r="R1150" s="44" t="s">
        <v>1624</v>
      </c>
      <c r="S1150" s="19" t="s">
        <v>160</v>
      </c>
      <c r="T1150" s="19" t="s">
        <v>160</v>
      </c>
      <c r="U1150" s="19">
        <v>1</v>
      </c>
      <c r="V1150" s="42" t="s">
        <v>160</v>
      </c>
      <c r="W1150" s="42" t="s">
        <v>160</v>
      </c>
      <c r="X1150" s="42"/>
      <c r="Y1150" s="42"/>
      <c r="Z1150" s="42"/>
      <c r="AA1150" s="42"/>
      <c r="AB1150" s="42"/>
      <c r="AC1150" s="42"/>
      <c r="AD1150" s="42"/>
      <c r="AE1150" s="42"/>
      <c r="AF1150" s="42"/>
      <c r="AG1150" s="42"/>
      <c r="AH1150" s="42"/>
      <c r="AI1150" s="42"/>
      <c r="AJ1150" s="42"/>
      <c r="AK1150" s="42"/>
      <c r="AL1150" s="42"/>
      <c r="AM1150" s="42"/>
      <c r="AN1150" s="42"/>
      <c r="AO1150" s="42"/>
      <c r="AP1150" s="42"/>
      <c r="AQ1150" s="42"/>
      <c r="AR1150" s="42"/>
      <c r="AS1150" s="42"/>
      <c r="AZ1150" s="42"/>
      <c r="BA1150" s="42"/>
      <c r="BB1150" s="42"/>
      <c r="BC1150" s="42"/>
      <c r="BD1150" s="42"/>
      <c r="BE1150" s="42"/>
    </row>
    <row r="1151" spans="1:57" x14ac:dyDescent="0.25">
      <c r="A1151" s="53" t="s">
        <v>2763</v>
      </c>
      <c r="B1151" s="138">
        <v>2110</v>
      </c>
      <c r="C1151" s="53" t="s">
        <v>728</v>
      </c>
      <c r="D1151" s="53" t="s">
        <v>728</v>
      </c>
      <c r="E1151" s="43">
        <f>58+5/60+18.46/3600</f>
        <v>58.088461111111116</v>
      </c>
      <c r="F1151" s="43">
        <f>11+49/60+12.795/3600</f>
        <v>11.820220833333334</v>
      </c>
      <c r="G1151" s="53">
        <v>2.77</v>
      </c>
      <c r="H1151" s="9" t="s">
        <v>150</v>
      </c>
      <c r="I1151" s="7" t="s">
        <v>8</v>
      </c>
      <c r="J1151" s="53" t="s">
        <v>8</v>
      </c>
      <c r="K1151" s="7" t="s">
        <v>6</v>
      </c>
      <c r="L1151" s="7" t="s">
        <v>2030</v>
      </c>
      <c r="M1151" s="7" t="s">
        <v>2653</v>
      </c>
      <c r="N1151" s="42" t="s">
        <v>1132</v>
      </c>
      <c r="O1151" s="22"/>
      <c r="P1151" s="42" t="s">
        <v>160</v>
      </c>
      <c r="Q1151" s="44" t="s">
        <v>1180</v>
      </c>
      <c r="R1151" s="44" t="s">
        <v>1624</v>
      </c>
      <c r="S1151" s="19" t="s">
        <v>160</v>
      </c>
      <c r="T1151" s="19" t="s">
        <v>160</v>
      </c>
      <c r="U1151" s="42">
        <v>1</v>
      </c>
      <c r="V1151" s="20" t="s">
        <v>160</v>
      </c>
      <c r="W1151" s="20" t="s">
        <v>160</v>
      </c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94" customFormat="1" x14ac:dyDescent="0.25">
      <c r="A1152" s="105" t="s">
        <v>2773</v>
      </c>
      <c r="B1152" s="139" t="s">
        <v>2817</v>
      </c>
      <c r="C1152" s="110" t="s">
        <v>728</v>
      </c>
      <c r="D1152" s="153" t="s">
        <v>728</v>
      </c>
      <c r="E1152" s="81">
        <f>58+5/60+18.42/3600</f>
        <v>58.088450000000002</v>
      </c>
      <c r="F1152" s="81">
        <f>11+49/60+12.648/3600</f>
        <v>11.820180000000001</v>
      </c>
      <c r="G1152" s="178">
        <v>2.77</v>
      </c>
      <c r="H1152" s="105" t="s">
        <v>150</v>
      </c>
      <c r="I1152" s="105" t="s">
        <v>8</v>
      </c>
      <c r="J1152" s="105" t="s">
        <v>8</v>
      </c>
      <c r="K1152" s="105" t="s">
        <v>6</v>
      </c>
      <c r="L1152" s="105" t="s">
        <v>2030</v>
      </c>
      <c r="M1152" s="105" t="s">
        <v>2653</v>
      </c>
      <c r="N1152" s="106" t="s">
        <v>1132</v>
      </c>
      <c r="O1152" s="104"/>
      <c r="P1152" s="106" t="s">
        <v>160</v>
      </c>
      <c r="Q1152" s="107" t="s">
        <v>1180</v>
      </c>
      <c r="R1152" s="107" t="s">
        <v>1624</v>
      </c>
      <c r="S1152" s="108" t="s">
        <v>160</v>
      </c>
      <c r="T1152" s="108" t="s">
        <v>160</v>
      </c>
      <c r="U1152" s="106">
        <v>1</v>
      </c>
      <c r="V1152" s="103" t="s">
        <v>160</v>
      </c>
      <c r="W1152" s="103" t="s">
        <v>160</v>
      </c>
      <c r="X1152" s="103"/>
      <c r="Y1152" s="103"/>
      <c r="Z1152" s="103"/>
      <c r="AA1152" s="103"/>
      <c r="AB1152" s="103"/>
      <c r="AC1152" s="103"/>
      <c r="AD1152" s="103"/>
      <c r="AE1152" s="103"/>
      <c r="AF1152" s="103"/>
      <c r="AG1152" s="103"/>
      <c r="AH1152" s="103"/>
      <c r="AI1152" s="103"/>
      <c r="AJ1152" s="103"/>
      <c r="AK1152" s="103"/>
      <c r="AL1152" s="103"/>
      <c r="AM1152" s="103"/>
      <c r="AN1152" s="103"/>
      <c r="AO1152" s="103"/>
      <c r="AP1152" s="103"/>
      <c r="AQ1152" s="103"/>
      <c r="AR1152" s="103"/>
      <c r="AS1152" s="103"/>
      <c r="AT1152" s="103"/>
      <c r="AU1152" s="103"/>
      <c r="AV1152" s="103"/>
      <c r="AW1152" s="103"/>
      <c r="AX1152" s="103"/>
      <c r="AY1152" s="103"/>
      <c r="AZ1152" s="103"/>
      <c r="BA1152" s="103"/>
      <c r="BB1152" s="103"/>
      <c r="BC1152" s="103"/>
      <c r="BD1152" s="103"/>
      <c r="BE1152" s="103"/>
    </row>
    <row r="1153" spans="1:57" x14ac:dyDescent="0.25">
      <c r="A1153" s="7" t="s">
        <v>8</v>
      </c>
      <c r="B1153" s="142" t="s">
        <v>3002</v>
      </c>
      <c r="C1153" s="23" t="s">
        <v>728</v>
      </c>
      <c r="D1153" t="s">
        <v>728</v>
      </c>
      <c r="E1153" s="193">
        <v>58.093299999999999</v>
      </c>
      <c r="F1153" s="193">
        <v>11.8325</v>
      </c>
      <c r="G1153" s="43"/>
      <c r="H1153" s="7" t="s">
        <v>150</v>
      </c>
      <c r="I1153" s="7" t="s">
        <v>8</v>
      </c>
      <c r="J1153" s="7" t="s">
        <v>8</v>
      </c>
      <c r="K1153" s="7" t="s">
        <v>6</v>
      </c>
      <c r="L1153" s="7" t="s">
        <v>2030</v>
      </c>
      <c r="M1153" s="7" t="s">
        <v>2653</v>
      </c>
      <c r="N1153" s="42" t="s">
        <v>1132</v>
      </c>
      <c r="O1153" s="22"/>
      <c r="P1153" s="42" t="s">
        <v>160</v>
      </c>
      <c r="Q1153" s="44" t="s">
        <v>1180</v>
      </c>
      <c r="R1153" s="44" t="s">
        <v>1624</v>
      </c>
      <c r="S1153" s="19" t="s">
        <v>160</v>
      </c>
      <c r="T1153" s="19" t="s">
        <v>160</v>
      </c>
      <c r="U1153" s="42">
        <v>1</v>
      </c>
      <c r="V1153" s="20" t="s">
        <v>160</v>
      </c>
      <c r="W1153" s="20" t="s">
        <v>160</v>
      </c>
      <c r="X1153" s="20"/>
      <c r="Y1153" s="20"/>
      <c r="Z1153" s="20"/>
      <c r="AA1153" s="20"/>
      <c r="AB1153" s="20"/>
      <c r="AC1153" s="20"/>
      <c r="AD1153" s="20"/>
      <c r="AE1153" s="20"/>
      <c r="AF1153" s="20"/>
      <c r="AG1153" s="20"/>
      <c r="AH1153" s="20"/>
      <c r="AI1153" s="20"/>
      <c r="AJ1153" s="20"/>
      <c r="AK1153" s="20"/>
      <c r="AL1153" s="20"/>
      <c r="AM1153" s="20"/>
      <c r="AN1153" s="20"/>
      <c r="AO1153" s="20"/>
      <c r="AP1153" s="20"/>
      <c r="AQ1153" s="20"/>
      <c r="AR1153" s="20"/>
      <c r="AS1153" s="20"/>
      <c r="AT1153" s="20"/>
      <c r="AU1153" s="20"/>
      <c r="AV1153" s="20"/>
      <c r="AW1153" s="20"/>
      <c r="AX1153" s="20"/>
      <c r="AY1153" s="20"/>
      <c r="AZ1153" s="20"/>
      <c r="BA1153" s="20"/>
      <c r="BB1153" s="20"/>
      <c r="BC1153" s="20"/>
      <c r="BD1153" s="20"/>
      <c r="BE1153" s="20"/>
    </row>
    <row r="1154" spans="1:57" x14ac:dyDescent="0.25">
      <c r="A1154" s="9" t="s">
        <v>706</v>
      </c>
      <c r="B1154" s="140">
        <v>151</v>
      </c>
      <c r="C1154" s="23" t="s">
        <v>728</v>
      </c>
      <c r="D1154" s="62" t="s">
        <v>111</v>
      </c>
      <c r="E1154" s="5">
        <f>58+5/60+20/3600</f>
        <v>58.088888888888889</v>
      </c>
      <c r="F1154" s="5">
        <f>11+49/60+14/3600</f>
        <v>11.820555555555556</v>
      </c>
      <c r="G1154" s="43"/>
      <c r="H1154" s="9" t="s">
        <v>150</v>
      </c>
      <c r="I1154" s="7" t="s">
        <v>8</v>
      </c>
      <c r="J1154" s="7" t="s">
        <v>8</v>
      </c>
      <c r="K1154" s="9" t="s">
        <v>6</v>
      </c>
      <c r="L1154" s="7" t="s">
        <v>2030</v>
      </c>
      <c r="M1154" s="7" t="s">
        <v>2653</v>
      </c>
      <c r="N1154" s="42" t="s">
        <v>1132</v>
      </c>
      <c r="O1154" s="22"/>
      <c r="P1154" s="42" t="s">
        <v>160</v>
      </c>
      <c r="Q1154" s="44" t="s">
        <v>1180</v>
      </c>
      <c r="R1154" s="44" t="s">
        <v>1624</v>
      </c>
      <c r="S1154" s="19" t="s">
        <v>160</v>
      </c>
      <c r="T1154" s="19" t="s">
        <v>160</v>
      </c>
      <c r="U1154" s="19">
        <v>1</v>
      </c>
      <c r="V1154" s="19" t="s">
        <v>160</v>
      </c>
      <c r="W1154" s="19" t="s">
        <v>160</v>
      </c>
      <c r="BB1154" s="19"/>
      <c r="BC1154" s="19"/>
      <c r="BD1154" s="19"/>
      <c r="BE1154" s="19"/>
    </row>
    <row r="1155" spans="1:57" s="105" customFormat="1" x14ac:dyDescent="0.25">
      <c r="A1155" s="9" t="s">
        <v>707</v>
      </c>
      <c r="B1155" s="39" t="s">
        <v>570</v>
      </c>
      <c r="C1155" s="23" t="s">
        <v>921</v>
      </c>
      <c r="D1155" s="40" t="s">
        <v>571</v>
      </c>
      <c r="E1155" s="46" t="s">
        <v>573</v>
      </c>
      <c r="F1155" s="46" t="s">
        <v>572</v>
      </c>
      <c r="G1155" s="40"/>
      <c r="H1155" s="9" t="s">
        <v>150</v>
      </c>
      <c r="I1155" s="41" t="s">
        <v>173</v>
      </c>
      <c r="J1155" s="41" t="s">
        <v>169</v>
      </c>
      <c r="K1155" s="51" t="s">
        <v>951</v>
      </c>
      <c r="L1155" s="51" t="s">
        <v>2717</v>
      </c>
      <c r="M1155" s="7" t="s">
        <v>2653</v>
      </c>
      <c r="N1155" s="19"/>
      <c r="O1155" s="19"/>
      <c r="P1155" s="19"/>
      <c r="Q1155" s="19"/>
      <c r="R1155" s="79"/>
      <c r="S1155" s="19"/>
      <c r="T1155" s="19"/>
      <c r="U1155" s="19"/>
      <c r="V1155" s="42"/>
      <c r="W1155" s="42"/>
      <c r="X1155" s="42"/>
      <c r="Y1155" s="42"/>
      <c r="Z1155" s="42"/>
      <c r="AA1155" s="42"/>
      <c r="AB1155" s="42"/>
      <c r="AC1155" s="42"/>
      <c r="AD1155" s="42"/>
      <c r="AE1155" s="42"/>
      <c r="AF1155" s="42"/>
      <c r="AG1155" s="42"/>
      <c r="AH1155" s="42"/>
      <c r="AI1155" s="42"/>
      <c r="AJ1155" s="42"/>
      <c r="AK1155" s="42"/>
      <c r="AL1155" s="42" t="s">
        <v>160</v>
      </c>
      <c r="AM1155" s="42" t="s">
        <v>160</v>
      </c>
      <c r="AN1155" s="42"/>
      <c r="AO1155" s="42"/>
      <c r="AP1155" s="42"/>
      <c r="AQ1155" s="42"/>
      <c r="AR1155" s="42"/>
      <c r="AS1155" s="42"/>
      <c r="AT1155" s="19"/>
      <c r="AU1155" s="19"/>
      <c r="AV1155" s="19" t="s">
        <v>160</v>
      </c>
      <c r="AW1155" s="19" t="s">
        <v>160</v>
      </c>
      <c r="AX1155" s="19"/>
      <c r="AY1155" s="19"/>
      <c r="AZ1155" s="42"/>
      <c r="BA1155" s="42"/>
      <c r="BB1155" s="42"/>
      <c r="BC1155" s="42"/>
      <c r="BD1155" s="42"/>
      <c r="BE1155" s="42"/>
    </row>
    <row r="1156" spans="1:57" s="7" customFormat="1" x14ac:dyDescent="0.25">
      <c r="A1156" s="105" t="s">
        <v>2773</v>
      </c>
      <c r="B1156" s="171" t="s">
        <v>3003</v>
      </c>
      <c r="C1156" s="110" t="s">
        <v>921</v>
      </c>
      <c r="D1156" s="113" t="s">
        <v>2716</v>
      </c>
      <c r="E1156" s="120">
        <f>58+5/60+15/3600</f>
        <v>58.087500000000006</v>
      </c>
      <c r="F1156" s="120">
        <f>11+48/60+6/3600</f>
        <v>11.801666666666668</v>
      </c>
      <c r="G1156" s="113"/>
      <c r="H1156" s="105" t="s">
        <v>150</v>
      </c>
      <c r="I1156" s="113" t="s">
        <v>173</v>
      </c>
      <c r="J1156" s="113" t="s">
        <v>169</v>
      </c>
      <c r="K1156" s="113" t="s">
        <v>951</v>
      </c>
      <c r="L1156" s="113" t="s">
        <v>2717</v>
      </c>
      <c r="M1156" s="105" t="s">
        <v>2653</v>
      </c>
      <c r="N1156" s="106"/>
      <c r="O1156" s="104"/>
      <c r="P1156" s="106"/>
      <c r="Q1156" s="174"/>
      <c r="R1156" s="174"/>
      <c r="S1156" s="108"/>
      <c r="T1156" s="108"/>
      <c r="U1156" s="108"/>
      <c r="V1156" s="106"/>
      <c r="W1156" s="106"/>
      <c r="X1156" s="106"/>
      <c r="Y1156" s="106"/>
      <c r="Z1156" s="106"/>
      <c r="AA1156" s="106"/>
      <c r="AB1156" s="106"/>
      <c r="AC1156" s="106"/>
      <c r="AD1156" s="106"/>
      <c r="AE1156" s="106"/>
      <c r="AF1156" s="106"/>
      <c r="AG1156" s="106"/>
      <c r="AH1156" s="106"/>
      <c r="AI1156" s="106"/>
      <c r="AJ1156" s="106"/>
      <c r="AK1156" s="106"/>
      <c r="AL1156" s="106" t="s">
        <v>160</v>
      </c>
      <c r="AM1156" s="106" t="s">
        <v>160</v>
      </c>
      <c r="AN1156" s="106"/>
      <c r="AO1156" s="106"/>
      <c r="AP1156" s="106"/>
      <c r="AQ1156" s="106"/>
      <c r="AR1156" s="106"/>
      <c r="AS1156" s="106"/>
      <c r="AT1156" s="108"/>
      <c r="AU1156" s="108"/>
      <c r="AV1156" s="108" t="s">
        <v>160</v>
      </c>
      <c r="AW1156" s="108" t="s">
        <v>160</v>
      </c>
      <c r="AX1156" s="108"/>
      <c r="AY1156" s="108"/>
      <c r="AZ1156" s="106"/>
      <c r="BA1156" s="106"/>
      <c r="BB1156" s="106"/>
      <c r="BC1156" s="106"/>
      <c r="BD1156" s="106"/>
      <c r="BE1156" s="106"/>
    </row>
    <row r="1157" spans="1:57" x14ac:dyDescent="0.25">
      <c r="A1157" s="7" t="s">
        <v>8</v>
      </c>
      <c r="B1157" s="58" t="s">
        <v>875</v>
      </c>
      <c r="C1157" s="23" t="s">
        <v>921</v>
      </c>
      <c r="D1157" s="41" t="s">
        <v>2716</v>
      </c>
      <c r="E1157" s="5">
        <f>58+5/60+15/3600</f>
        <v>58.087500000000006</v>
      </c>
      <c r="F1157" s="5">
        <f>11+48/60+6/3600</f>
        <v>11.801666666666668</v>
      </c>
      <c r="G1157" s="41"/>
      <c r="H1157" s="7" t="s">
        <v>150</v>
      </c>
      <c r="I1157" s="41" t="s">
        <v>173</v>
      </c>
      <c r="J1157" s="41" t="s">
        <v>169</v>
      </c>
      <c r="K1157" s="41" t="s">
        <v>951</v>
      </c>
      <c r="L1157" s="41" t="s">
        <v>2717</v>
      </c>
      <c r="M1157" s="7" t="s">
        <v>2653</v>
      </c>
      <c r="N1157" s="42"/>
      <c r="O1157" s="22"/>
      <c r="P1157" s="42"/>
      <c r="Q1157" s="92"/>
      <c r="R1157" s="92"/>
      <c r="V1157" s="42"/>
      <c r="W1157" s="42"/>
      <c r="X1157" s="42"/>
      <c r="Y1157" s="42"/>
      <c r="Z1157" s="42"/>
      <c r="AA1157" s="42"/>
      <c r="AB1157" s="42"/>
      <c r="AC1157" s="42"/>
      <c r="AD1157" s="42"/>
      <c r="AE1157" s="42"/>
      <c r="AF1157" s="42"/>
      <c r="AG1157" s="42"/>
      <c r="AH1157" s="42"/>
      <c r="AI1157" s="42"/>
      <c r="AJ1157" s="42"/>
      <c r="AK1157" s="42"/>
      <c r="AL1157" s="42" t="s">
        <v>160</v>
      </c>
      <c r="AM1157" s="42" t="s">
        <v>160</v>
      </c>
      <c r="AN1157" s="42"/>
      <c r="AO1157" s="42"/>
      <c r="AP1157" s="42"/>
      <c r="AQ1157" s="42"/>
      <c r="AR1157" s="42"/>
      <c r="AS1157" s="42"/>
      <c r="AV1157" s="19" t="s">
        <v>160</v>
      </c>
      <c r="AW1157" s="19" t="s">
        <v>160</v>
      </c>
      <c r="AZ1157" s="42"/>
      <c r="BA1157" s="42"/>
      <c r="BB1157" s="42"/>
      <c r="BC1157" s="42"/>
      <c r="BD1157" s="42"/>
      <c r="BE1157" s="42"/>
    </row>
    <row r="1158" spans="1:57" x14ac:dyDescent="0.25">
      <c r="A1158" s="9" t="s">
        <v>706</v>
      </c>
      <c r="B1158" s="38">
        <v>142</v>
      </c>
      <c r="C1158" s="38" t="s">
        <v>921</v>
      </c>
      <c r="D1158" s="62" t="s">
        <v>109</v>
      </c>
      <c r="E1158" s="3">
        <f>58+5/60+15/3600</f>
        <v>58.087500000000006</v>
      </c>
      <c r="F1158" s="3">
        <f>11+48/60+6/3600</f>
        <v>11.801666666666668</v>
      </c>
      <c r="G1158" s="51"/>
      <c r="H1158" s="9" t="s">
        <v>150</v>
      </c>
      <c r="I1158" s="41" t="s">
        <v>173</v>
      </c>
      <c r="J1158" s="41" t="s">
        <v>169</v>
      </c>
      <c r="K1158" s="9" t="s">
        <v>951</v>
      </c>
      <c r="L1158" s="7" t="s">
        <v>2717</v>
      </c>
      <c r="M1158" s="7" t="s">
        <v>2653</v>
      </c>
      <c r="AL1158" s="19" t="s">
        <v>160</v>
      </c>
      <c r="AM1158" s="19" t="s">
        <v>160</v>
      </c>
      <c r="AV1158" s="19" t="s">
        <v>160</v>
      </c>
      <c r="AW1158" s="19" t="s">
        <v>160</v>
      </c>
      <c r="BB1158" s="19"/>
      <c r="BC1158" s="19"/>
      <c r="BD1158" s="19"/>
      <c r="BE1158" s="19"/>
    </row>
    <row r="1159" spans="1:57" s="105" customFormat="1" x14ac:dyDescent="0.25">
      <c r="A1159" s="9" t="s">
        <v>707</v>
      </c>
      <c r="B1159" s="39" t="s">
        <v>574</v>
      </c>
      <c r="C1159" s="38" t="s">
        <v>922</v>
      </c>
      <c r="D1159" s="40" t="s">
        <v>575</v>
      </c>
      <c r="E1159" s="46" t="s">
        <v>577</v>
      </c>
      <c r="F1159" s="46" t="s">
        <v>576</v>
      </c>
      <c r="G1159" s="40"/>
      <c r="H1159" s="9" t="s">
        <v>150</v>
      </c>
      <c r="I1159" s="41" t="s">
        <v>578</v>
      </c>
      <c r="J1159" s="41" t="s">
        <v>169</v>
      </c>
      <c r="K1159" s="40" t="s">
        <v>953</v>
      </c>
      <c r="L1159" s="41" t="s">
        <v>2064</v>
      </c>
      <c r="M1159" s="7" t="s">
        <v>2653</v>
      </c>
      <c r="N1159" s="19"/>
      <c r="O1159" s="19"/>
      <c r="P1159" s="19"/>
      <c r="Q1159" s="19"/>
      <c r="R1159" s="19"/>
      <c r="S1159" s="19"/>
      <c r="T1159" s="19"/>
      <c r="U1159" s="19"/>
      <c r="V1159" s="42"/>
      <c r="W1159" s="42"/>
      <c r="X1159" s="42"/>
      <c r="Y1159" s="42"/>
      <c r="Z1159" s="42"/>
      <c r="AA1159" s="42"/>
      <c r="AB1159" s="42"/>
      <c r="AC1159" s="42"/>
      <c r="AD1159" s="42"/>
      <c r="AE1159" s="42"/>
      <c r="AF1159" s="42"/>
      <c r="AG1159" s="42"/>
      <c r="AH1159" s="42"/>
      <c r="AI1159" s="42"/>
      <c r="AJ1159" s="42"/>
      <c r="AK1159" s="42"/>
      <c r="AL1159" s="42" t="s">
        <v>160</v>
      </c>
      <c r="AM1159" s="42" t="s">
        <v>160</v>
      </c>
      <c r="AN1159" s="42"/>
      <c r="AO1159" s="42"/>
      <c r="AP1159" s="42"/>
      <c r="AQ1159" s="42"/>
      <c r="AR1159" s="42" t="s">
        <v>160</v>
      </c>
      <c r="AS1159" s="42" t="s">
        <v>160</v>
      </c>
      <c r="AT1159" s="19"/>
      <c r="AU1159" s="19"/>
      <c r="AV1159" s="19"/>
      <c r="AW1159" s="19"/>
      <c r="AX1159" s="19"/>
      <c r="AY1159" s="19"/>
      <c r="AZ1159" s="42"/>
      <c r="BA1159" s="42"/>
      <c r="BB1159" s="42"/>
      <c r="BC1159" s="42"/>
      <c r="BD1159" s="42"/>
      <c r="BE1159" s="42"/>
    </row>
    <row r="1160" spans="1:57" s="7" customFormat="1" x14ac:dyDescent="0.25">
      <c r="A1160" s="105" t="s">
        <v>2773</v>
      </c>
      <c r="B1160" s="171" t="s">
        <v>3004</v>
      </c>
      <c r="C1160" s="110" t="s">
        <v>922</v>
      </c>
      <c r="D1160" s="113" t="s">
        <v>2718</v>
      </c>
      <c r="E1160" s="120">
        <f>58+5/60+28/3600</f>
        <v>58.091111111111111</v>
      </c>
      <c r="F1160" s="120">
        <f>11+48/60+46/3600</f>
        <v>11.812777777777779</v>
      </c>
      <c r="G1160" s="113"/>
      <c r="H1160" s="105" t="s">
        <v>150</v>
      </c>
      <c r="I1160" s="113" t="s">
        <v>578</v>
      </c>
      <c r="J1160" s="113" t="s">
        <v>169</v>
      </c>
      <c r="K1160" s="113" t="s">
        <v>953</v>
      </c>
      <c r="L1160" s="105" t="s">
        <v>2719</v>
      </c>
      <c r="M1160" s="105" t="s">
        <v>2653</v>
      </c>
      <c r="N1160" s="108"/>
      <c r="O1160" s="108"/>
      <c r="P1160" s="108"/>
      <c r="Q1160" s="108"/>
      <c r="R1160" s="175"/>
      <c r="S1160" s="108"/>
      <c r="T1160" s="108"/>
      <c r="U1160" s="108"/>
      <c r="V1160" s="106"/>
      <c r="W1160" s="106"/>
      <c r="X1160" s="106"/>
      <c r="Y1160" s="106"/>
      <c r="Z1160" s="106"/>
      <c r="AA1160" s="106"/>
      <c r="AB1160" s="106"/>
      <c r="AC1160" s="106"/>
      <c r="AD1160" s="106"/>
      <c r="AE1160" s="106"/>
      <c r="AF1160" s="106"/>
      <c r="AG1160" s="106"/>
      <c r="AH1160" s="106"/>
      <c r="AI1160" s="106"/>
      <c r="AJ1160" s="106"/>
      <c r="AK1160" s="106"/>
      <c r="AL1160" s="106" t="s">
        <v>160</v>
      </c>
      <c r="AM1160" s="106" t="s">
        <v>160</v>
      </c>
      <c r="AN1160" s="106"/>
      <c r="AO1160" s="106"/>
      <c r="AP1160" s="106"/>
      <c r="AQ1160" s="106"/>
      <c r="AR1160" s="106" t="s">
        <v>160</v>
      </c>
      <c r="AS1160" s="106" t="s">
        <v>160</v>
      </c>
      <c r="AT1160" s="108" t="s">
        <v>160</v>
      </c>
      <c r="AU1160" s="108" t="s">
        <v>160</v>
      </c>
      <c r="AV1160" s="108"/>
      <c r="AW1160" s="108"/>
      <c r="AX1160" s="108"/>
      <c r="AY1160" s="108"/>
      <c r="AZ1160" s="106"/>
      <c r="BA1160" s="106"/>
      <c r="BB1160" s="106"/>
      <c r="BC1160" s="106"/>
      <c r="BD1160" s="106"/>
      <c r="BE1160" s="106"/>
    </row>
    <row r="1161" spans="1:57" x14ac:dyDescent="0.25">
      <c r="A1161" s="7" t="s">
        <v>8</v>
      </c>
      <c r="B1161" s="58" t="s">
        <v>875</v>
      </c>
      <c r="C1161" s="23" t="s">
        <v>922</v>
      </c>
      <c r="D1161" s="41" t="s">
        <v>2718</v>
      </c>
      <c r="E1161" s="5">
        <f>58+5/60+28/3600</f>
        <v>58.091111111111111</v>
      </c>
      <c r="F1161" s="5">
        <f>11+48/60+46/3600</f>
        <v>11.812777777777779</v>
      </c>
      <c r="G1161" s="41"/>
      <c r="H1161" s="7" t="s">
        <v>150</v>
      </c>
      <c r="I1161" s="41" t="s">
        <v>578</v>
      </c>
      <c r="J1161" s="41" t="s">
        <v>169</v>
      </c>
      <c r="K1161" s="41" t="s">
        <v>953</v>
      </c>
      <c r="L1161" s="7" t="s">
        <v>2719</v>
      </c>
      <c r="M1161" s="7" t="s">
        <v>2653</v>
      </c>
      <c r="R1161" s="79"/>
      <c r="V1161" s="42"/>
      <c r="W1161" s="42"/>
      <c r="X1161" s="42"/>
      <c r="Y1161" s="42"/>
      <c r="Z1161" s="42"/>
      <c r="AA1161" s="42"/>
      <c r="AB1161" s="42"/>
      <c r="AC1161" s="42"/>
      <c r="AD1161" s="42"/>
      <c r="AE1161" s="42"/>
      <c r="AF1161" s="42"/>
      <c r="AG1161" s="42"/>
      <c r="AH1161" s="42"/>
      <c r="AI1161" s="42"/>
      <c r="AJ1161" s="42"/>
      <c r="AK1161" s="42"/>
      <c r="AL1161" s="42" t="s">
        <v>160</v>
      </c>
      <c r="AM1161" s="42" t="s">
        <v>160</v>
      </c>
      <c r="AN1161" s="42"/>
      <c r="AO1161" s="42"/>
      <c r="AP1161" s="42"/>
      <c r="AQ1161" s="42"/>
      <c r="AR1161" s="42" t="s">
        <v>160</v>
      </c>
      <c r="AS1161" s="42" t="s">
        <v>160</v>
      </c>
      <c r="AT1161" s="19" t="s">
        <v>160</v>
      </c>
      <c r="AU1161" s="19" t="s">
        <v>160</v>
      </c>
      <c r="AZ1161" s="42"/>
      <c r="BA1161" s="42"/>
      <c r="BB1161" s="42"/>
      <c r="BC1161" s="42"/>
      <c r="BD1161" s="42"/>
      <c r="BE1161" s="42"/>
    </row>
    <row r="1162" spans="1:57" x14ac:dyDescent="0.25">
      <c r="A1162" s="9" t="s">
        <v>706</v>
      </c>
      <c r="B1162" s="38">
        <v>143</v>
      </c>
      <c r="C1162" s="38" t="s">
        <v>922</v>
      </c>
      <c r="D1162" s="88" t="s">
        <v>110</v>
      </c>
      <c r="E1162" s="3">
        <f>58+5/60+28/3600</f>
        <v>58.091111111111111</v>
      </c>
      <c r="F1162" s="3">
        <f>11+48/60+46/3600</f>
        <v>11.812777777777779</v>
      </c>
      <c r="G1162" s="40"/>
      <c r="H1162" s="9" t="s">
        <v>150</v>
      </c>
      <c r="I1162" s="41" t="s">
        <v>578</v>
      </c>
      <c r="J1162" s="41" t="s">
        <v>169</v>
      </c>
      <c r="K1162" s="9" t="s">
        <v>953</v>
      </c>
      <c r="L1162" s="7" t="s">
        <v>2719</v>
      </c>
      <c r="M1162" s="7" t="s">
        <v>2653</v>
      </c>
      <c r="AL1162" s="19" t="s">
        <v>160</v>
      </c>
      <c r="AM1162" s="19" t="s">
        <v>160</v>
      </c>
      <c r="AR1162" s="19" t="s">
        <v>160</v>
      </c>
      <c r="AS1162" s="19" t="s">
        <v>160</v>
      </c>
      <c r="AT1162" s="19" t="s">
        <v>160</v>
      </c>
      <c r="AU1162" s="19" t="s">
        <v>160</v>
      </c>
      <c r="BB1162" s="19"/>
      <c r="BC1162" s="19"/>
      <c r="BD1162" s="19"/>
      <c r="BE1162" s="19"/>
    </row>
    <row r="1163" spans="1:57" s="105" customFormat="1" x14ac:dyDescent="0.25">
      <c r="A1163" s="9" t="s">
        <v>707</v>
      </c>
      <c r="B1163" s="39" t="s">
        <v>579</v>
      </c>
      <c r="C1163" s="38" t="s">
        <v>923</v>
      </c>
      <c r="D1163" s="40" t="s">
        <v>580</v>
      </c>
      <c r="E1163" s="46" t="s">
        <v>582</v>
      </c>
      <c r="F1163" s="46" t="s">
        <v>581</v>
      </c>
      <c r="G1163" s="40"/>
      <c r="H1163" s="9" t="s">
        <v>150</v>
      </c>
      <c r="I1163" s="41" t="s">
        <v>583</v>
      </c>
      <c r="J1163" s="41" t="s">
        <v>169</v>
      </c>
      <c r="K1163" s="40" t="s">
        <v>951</v>
      </c>
      <c r="L1163" s="41" t="s">
        <v>2045</v>
      </c>
      <c r="M1163" s="7" t="s">
        <v>2653</v>
      </c>
      <c r="N1163" s="19"/>
      <c r="O1163" s="19"/>
      <c r="P1163" s="19"/>
      <c r="Q1163" s="19"/>
      <c r="R1163" s="19"/>
      <c r="S1163" s="19"/>
      <c r="T1163" s="19"/>
      <c r="U1163" s="19"/>
      <c r="V1163" s="42"/>
      <c r="W1163" s="42"/>
      <c r="X1163" s="42"/>
      <c r="Y1163" s="42"/>
      <c r="Z1163" s="42"/>
      <c r="AA1163" s="42"/>
      <c r="AB1163" s="42"/>
      <c r="AC1163" s="42"/>
      <c r="AD1163" s="42"/>
      <c r="AE1163" s="42"/>
      <c r="AF1163" s="42"/>
      <c r="AG1163" s="42"/>
      <c r="AH1163" s="42"/>
      <c r="AI1163" s="42"/>
      <c r="AJ1163" s="42"/>
      <c r="AK1163" s="42"/>
      <c r="AL1163" s="42" t="s">
        <v>160</v>
      </c>
      <c r="AM1163" s="42" t="s">
        <v>160</v>
      </c>
      <c r="AN1163" s="42"/>
      <c r="AO1163" s="42"/>
      <c r="AP1163" s="42"/>
      <c r="AQ1163" s="42"/>
      <c r="AR1163" s="42"/>
      <c r="AS1163" s="42"/>
      <c r="AT1163" s="19"/>
      <c r="AU1163" s="19"/>
      <c r="AV1163" s="19"/>
      <c r="AW1163" s="19"/>
      <c r="AX1163" s="19"/>
      <c r="AY1163" s="19"/>
      <c r="AZ1163" s="42"/>
      <c r="BA1163" s="42"/>
      <c r="BB1163" s="42"/>
      <c r="BC1163" s="42"/>
      <c r="BD1163" s="42"/>
      <c r="BE1163" s="42"/>
    </row>
    <row r="1164" spans="1:57" s="7" customFormat="1" x14ac:dyDescent="0.25">
      <c r="A1164" s="105" t="s">
        <v>2773</v>
      </c>
      <c r="B1164" s="171" t="s">
        <v>3005</v>
      </c>
      <c r="C1164" s="169" t="s">
        <v>923</v>
      </c>
      <c r="D1164" s="113" t="s">
        <v>2720</v>
      </c>
      <c r="E1164" s="120">
        <f>58+5/60+20/3600</f>
        <v>58.088888888888889</v>
      </c>
      <c r="F1164" s="120">
        <f>11+48/60+46/3600</f>
        <v>11.812777777777779</v>
      </c>
      <c r="G1164" s="113"/>
      <c r="H1164" s="105" t="s">
        <v>150</v>
      </c>
      <c r="I1164" s="113" t="s">
        <v>583</v>
      </c>
      <c r="J1164" s="113" t="s">
        <v>169</v>
      </c>
      <c r="K1164" s="113" t="s">
        <v>951</v>
      </c>
      <c r="L1164" s="113" t="s">
        <v>2045</v>
      </c>
      <c r="M1164" s="105" t="s">
        <v>2653</v>
      </c>
      <c r="N1164" s="108"/>
      <c r="O1164" s="108"/>
      <c r="P1164" s="108"/>
      <c r="Q1164" s="108"/>
      <c r="R1164" s="108"/>
      <c r="S1164" s="108"/>
      <c r="T1164" s="108"/>
      <c r="U1164" s="108"/>
      <c r="V1164" s="106"/>
      <c r="W1164" s="106"/>
      <c r="X1164" s="106"/>
      <c r="Y1164" s="106"/>
      <c r="Z1164" s="106"/>
      <c r="AA1164" s="106"/>
      <c r="AB1164" s="106"/>
      <c r="AC1164" s="106"/>
      <c r="AD1164" s="106"/>
      <c r="AE1164" s="106"/>
      <c r="AF1164" s="106"/>
      <c r="AG1164" s="106"/>
      <c r="AH1164" s="106"/>
      <c r="AI1164" s="106"/>
      <c r="AJ1164" s="106"/>
      <c r="AK1164" s="106"/>
      <c r="AL1164" s="106" t="s">
        <v>160</v>
      </c>
      <c r="AM1164" s="106" t="s">
        <v>160</v>
      </c>
      <c r="AN1164" s="106"/>
      <c r="AO1164" s="106"/>
      <c r="AP1164" s="106"/>
      <c r="AQ1164" s="106"/>
      <c r="AR1164" s="106"/>
      <c r="AS1164" s="106"/>
      <c r="AT1164" s="108"/>
      <c r="AU1164" s="108"/>
      <c r="AV1164" s="108"/>
      <c r="AW1164" s="108"/>
      <c r="AX1164" s="108"/>
      <c r="AY1164" s="108"/>
      <c r="AZ1164" s="106"/>
      <c r="BA1164" s="106"/>
      <c r="BB1164" s="106"/>
      <c r="BC1164" s="106"/>
      <c r="BD1164" s="106"/>
      <c r="BE1164" s="106"/>
    </row>
    <row r="1165" spans="1:57" x14ac:dyDescent="0.25">
      <c r="A1165" s="7" t="s">
        <v>8</v>
      </c>
      <c r="B1165" s="58" t="s">
        <v>875</v>
      </c>
      <c r="C1165" s="56" t="s">
        <v>923</v>
      </c>
      <c r="D1165" s="41" t="s">
        <v>2720</v>
      </c>
      <c r="E1165" s="5">
        <f>58+5/60+20/3600</f>
        <v>58.088888888888889</v>
      </c>
      <c r="F1165" s="5">
        <f>11+48/60+46/3600</f>
        <v>11.812777777777779</v>
      </c>
      <c r="G1165" s="41"/>
      <c r="H1165" s="7" t="s">
        <v>150</v>
      </c>
      <c r="I1165" s="41" t="s">
        <v>583</v>
      </c>
      <c r="J1165" s="41" t="s">
        <v>169</v>
      </c>
      <c r="K1165" s="41" t="s">
        <v>951</v>
      </c>
      <c r="L1165" s="41" t="s">
        <v>2045</v>
      </c>
      <c r="M1165" s="7" t="s">
        <v>2653</v>
      </c>
      <c r="V1165" s="42"/>
      <c r="W1165" s="42"/>
      <c r="X1165" s="42"/>
      <c r="Y1165" s="42"/>
      <c r="Z1165" s="42"/>
      <c r="AA1165" s="42"/>
      <c r="AB1165" s="42"/>
      <c r="AC1165" s="42"/>
      <c r="AD1165" s="42"/>
      <c r="AE1165" s="42"/>
      <c r="AF1165" s="42"/>
      <c r="AG1165" s="42"/>
      <c r="AH1165" s="42"/>
      <c r="AI1165" s="42"/>
      <c r="AJ1165" s="42"/>
      <c r="AK1165" s="42"/>
      <c r="AL1165" s="42" t="s">
        <v>160</v>
      </c>
      <c r="AM1165" s="42" t="s">
        <v>160</v>
      </c>
      <c r="AN1165" s="42"/>
      <c r="AO1165" s="42"/>
      <c r="AP1165" s="42"/>
      <c r="AQ1165" s="42"/>
      <c r="AR1165" s="42"/>
      <c r="AS1165" s="42"/>
      <c r="AZ1165" s="42"/>
      <c r="BA1165" s="42"/>
      <c r="BB1165" s="42"/>
      <c r="BC1165" s="42"/>
      <c r="BD1165" s="42"/>
      <c r="BE1165" s="42"/>
    </row>
    <row r="1166" spans="1:57" x14ac:dyDescent="0.25">
      <c r="A1166" s="9" t="s">
        <v>706</v>
      </c>
      <c r="B1166" s="38">
        <v>144</v>
      </c>
      <c r="C1166" s="38" t="s">
        <v>923</v>
      </c>
      <c r="D1166" s="62" t="s">
        <v>112</v>
      </c>
      <c r="E1166" s="3">
        <f>58+5/60+20/3600</f>
        <v>58.088888888888889</v>
      </c>
      <c r="F1166" s="3">
        <f>11+48/60+46/3600</f>
        <v>11.812777777777779</v>
      </c>
      <c r="G1166" s="51"/>
      <c r="H1166" s="9" t="s">
        <v>150</v>
      </c>
      <c r="I1166" s="41" t="s">
        <v>583</v>
      </c>
      <c r="J1166" s="41" t="s">
        <v>169</v>
      </c>
      <c r="K1166" s="9" t="s">
        <v>951</v>
      </c>
      <c r="L1166" s="7" t="s">
        <v>2045</v>
      </c>
      <c r="M1166" s="7" t="s">
        <v>2653</v>
      </c>
      <c r="AL1166" s="19" t="s">
        <v>160</v>
      </c>
      <c r="AM1166" s="19" t="s">
        <v>160</v>
      </c>
      <c r="BB1166" s="19"/>
      <c r="BC1166" s="19"/>
      <c r="BD1166" s="19"/>
      <c r="BE1166" s="19"/>
    </row>
    <row r="1167" spans="1:57" x14ac:dyDescent="0.25">
      <c r="A1167" s="9" t="s">
        <v>707</v>
      </c>
      <c r="B1167" s="137" t="s">
        <v>588</v>
      </c>
      <c r="C1167" s="23" t="s">
        <v>748</v>
      </c>
      <c r="D1167" s="40" t="s">
        <v>589</v>
      </c>
      <c r="E1167" s="46" t="s">
        <v>591</v>
      </c>
      <c r="F1167" s="46" t="s">
        <v>590</v>
      </c>
      <c r="G1167" s="40"/>
      <c r="H1167" s="9" t="s">
        <v>150</v>
      </c>
      <c r="I1167" s="41" t="s">
        <v>8</v>
      </c>
      <c r="J1167" s="41" t="s">
        <v>8</v>
      </c>
      <c r="K1167" s="40" t="s">
        <v>6</v>
      </c>
      <c r="L1167" s="41" t="s">
        <v>2030</v>
      </c>
      <c r="M1167" s="7" t="s">
        <v>2653</v>
      </c>
      <c r="N1167" s="19" t="s">
        <v>1178</v>
      </c>
      <c r="O1167" s="22"/>
      <c r="P1167" s="19" t="s">
        <v>160</v>
      </c>
      <c r="Q1167" s="44" t="s">
        <v>1181</v>
      </c>
      <c r="R1167" s="44" t="s">
        <v>1625</v>
      </c>
      <c r="S1167" s="19" t="s">
        <v>160</v>
      </c>
      <c r="T1167" s="19" t="s">
        <v>160</v>
      </c>
      <c r="U1167" s="19">
        <v>1</v>
      </c>
      <c r="V1167" s="42" t="s">
        <v>160</v>
      </c>
      <c r="W1167" s="42" t="s">
        <v>160</v>
      </c>
      <c r="X1167" s="42"/>
      <c r="Y1167" s="42"/>
      <c r="Z1167" s="42"/>
      <c r="AA1167" s="42"/>
      <c r="AB1167" s="42"/>
      <c r="AC1167" s="42"/>
      <c r="AD1167" s="42"/>
      <c r="AE1167" s="42"/>
      <c r="AF1167" s="42"/>
      <c r="AG1167" s="42"/>
      <c r="AH1167" s="42"/>
      <c r="AI1167" s="42"/>
      <c r="AJ1167" s="42"/>
      <c r="AK1167" s="42"/>
      <c r="AL1167" s="42"/>
      <c r="AM1167" s="42"/>
      <c r="AN1167" s="42"/>
      <c r="AO1167" s="42"/>
      <c r="AP1167" s="42"/>
      <c r="AQ1167" s="42"/>
      <c r="AR1167" s="42"/>
      <c r="AS1167" s="42"/>
      <c r="AZ1167" s="42"/>
      <c r="BA1167" s="42"/>
      <c r="BB1167" s="42"/>
      <c r="BC1167" s="42"/>
      <c r="BD1167" s="42"/>
      <c r="BE1167" s="42"/>
    </row>
    <row r="1168" spans="1:57" x14ac:dyDescent="0.25">
      <c r="A1168" s="53" t="s">
        <v>2763</v>
      </c>
      <c r="B1168" s="143">
        <v>2069</v>
      </c>
      <c r="C1168" s="85" t="s">
        <v>748</v>
      </c>
      <c r="D1168" s="85" t="s">
        <v>2759</v>
      </c>
      <c r="E1168" s="35">
        <f>59+19/60+27/3600</f>
        <v>59.32416666666667</v>
      </c>
      <c r="F1168" s="35">
        <f>18+4/60+54/3600</f>
        <v>18.081666666666667</v>
      </c>
      <c r="G1168" s="85"/>
      <c r="H1168" s="9" t="s">
        <v>150</v>
      </c>
      <c r="I1168" s="14" t="s">
        <v>8</v>
      </c>
      <c r="J1168" s="85" t="s">
        <v>8</v>
      </c>
      <c r="K1168" s="7" t="s">
        <v>6</v>
      </c>
      <c r="L1168" s="7" t="s">
        <v>2030</v>
      </c>
      <c r="M1168" s="7" t="s">
        <v>2653</v>
      </c>
      <c r="N1168" s="42" t="s">
        <v>1178</v>
      </c>
      <c r="O1168" s="22"/>
      <c r="P1168" s="42" t="s">
        <v>160</v>
      </c>
      <c r="Q1168" s="44" t="s">
        <v>1181</v>
      </c>
      <c r="R1168" s="44" t="s">
        <v>1625</v>
      </c>
      <c r="S1168" s="19" t="s">
        <v>160</v>
      </c>
      <c r="T1168" s="19" t="s">
        <v>160</v>
      </c>
      <c r="U1168" s="42">
        <v>1</v>
      </c>
      <c r="V1168" s="20" t="s">
        <v>160</v>
      </c>
      <c r="W1168" s="20" t="s">
        <v>160</v>
      </c>
      <c r="X1168" s="85"/>
      <c r="Y1168" s="85"/>
      <c r="Z1168" s="85"/>
      <c r="AA1168" s="85"/>
      <c r="AB1168" s="85"/>
      <c r="AC1168" s="85"/>
      <c r="AD1168" s="85"/>
      <c r="AE1168" s="85"/>
      <c r="AF1168" s="85"/>
      <c r="AG1168" s="85"/>
      <c r="AH1168" s="85"/>
      <c r="AI1168" s="85"/>
      <c r="AJ1168" s="85"/>
      <c r="AK1168" s="85"/>
      <c r="AL1168" s="85"/>
      <c r="AM1168" s="85"/>
      <c r="AN1168" s="85"/>
      <c r="AO1168" s="85"/>
      <c r="AP1168" s="85"/>
      <c r="AQ1168" s="85"/>
      <c r="AR1168" s="85"/>
      <c r="AS1168" s="85"/>
      <c r="AT1168" s="85"/>
      <c r="AU1168" s="85"/>
      <c r="AV1168" s="85"/>
      <c r="AW1168" s="85"/>
      <c r="AX1168" s="85"/>
      <c r="AY1168" s="85"/>
      <c r="AZ1168" s="85"/>
      <c r="BA1168" s="85"/>
      <c r="BB1168" s="85"/>
      <c r="BC1168" s="85"/>
      <c r="BD1168" s="85"/>
      <c r="BE1168" s="85"/>
    </row>
    <row r="1169" spans="1:57" s="94" customFormat="1" x14ac:dyDescent="0.25">
      <c r="A1169" s="105" t="s">
        <v>2773</v>
      </c>
      <c r="B1169" s="139" t="s">
        <v>2819</v>
      </c>
      <c r="C1169" s="110" t="s">
        <v>748</v>
      </c>
      <c r="D1169" s="153" t="s">
        <v>748</v>
      </c>
      <c r="E1169" s="81">
        <f>59+19/60+27.12/3600</f>
        <v>59.324200000000005</v>
      </c>
      <c r="F1169" s="81">
        <f>18+4/60+54.12/3600</f>
        <v>18.081700000000001</v>
      </c>
      <c r="G1169" s="81"/>
      <c r="H1169" s="105" t="s">
        <v>150</v>
      </c>
      <c r="I1169" s="105" t="s">
        <v>8</v>
      </c>
      <c r="J1169" s="105" t="s">
        <v>8</v>
      </c>
      <c r="K1169" s="105" t="s">
        <v>6</v>
      </c>
      <c r="L1169" s="105" t="s">
        <v>2030</v>
      </c>
      <c r="M1169" s="105" t="s">
        <v>2653</v>
      </c>
      <c r="N1169" s="106" t="s">
        <v>1178</v>
      </c>
      <c r="O1169" s="104"/>
      <c r="P1169" s="106" t="s">
        <v>160</v>
      </c>
      <c r="Q1169" s="107" t="s">
        <v>1181</v>
      </c>
      <c r="R1169" s="107" t="s">
        <v>1625</v>
      </c>
      <c r="S1169" s="108" t="s">
        <v>160</v>
      </c>
      <c r="T1169" s="108" t="s">
        <v>160</v>
      </c>
      <c r="U1169" s="106">
        <v>1</v>
      </c>
      <c r="V1169" s="103" t="s">
        <v>160</v>
      </c>
      <c r="W1169" s="103" t="s">
        <v>160</v>
      </c>
      <c r="X1169" s="103"/>
      <c r="Y1169" s="103"/>
      <c r="Z1169" s="103"/>
      <c r="AA1169" s="103"/>
      <c r="AB1169" s="103"/>
      <c r="AC1169" s="103"/>
      <c r="AD1169" s="103"/>
      <c r="AE1169" s="103"/>
      <c r="AF1169" s="103"/>
      <c r="AG1169" s="103"/>
      <c r="AH1169" s="103"/>
      <c r="AI1169" s="103"/>
      <c r="AJ1169" s="103"/>
      <c r="AK1169" s="103"/>
      <c r="AL1169" s="103"/>
      <c r="AM1169" s="103"/>
      <c r="AN1169" s="103"/>
      <c r="AO1169" s="103"/>
      <c r="AP1169" s="103"/>
      <c r="AQ1169" s="103"/>
      <c r="AR1169" s="103"/>
      <c r="AS1169" s="103"/>
      <c r="AT1169" s="103"/>
      <c r="AU1169" s="103"/>
      <c r="AV1169" s="103"/>
      <c r="AW1169" s="103"/>
      <c r="AX1169" s="103"/>
      <c r="AY1169" s="103"/>
      <c r="AZ1169" s="103"/>
      <c r="BA1169" s="103"/>
      <c r="BB1169" s="103"/>
      <c r="BC1169" s="103"/>
      <c r="BD1169" s="103"/>
      <c r="BE1169" s="103"/>
    </row>
    <row r="1170" spans="1:57" x14ac:dyDescent="0.25">
      <c r="A1170" s="7" t="s">
        <v>8</v>
      </c>
      <c r="B1170" s="142" t="s">
        <v>3001</v>
      </c>
      <c r="C1170" s="23" t="s">
        <v>748</v>
      </c>
      <c r="D1170" t="s">
        <v>748</v>
      </c>
      <c r="E1170" s="193">
        <v>59.324300000000001</v>
      </c>
      <c r="F1170" s="193">
        <v>18.081800000000001</v>
      </c>
      <c r="G1170" s="43"/>
      <c r="H1170" s="7" t="s">
        <v>150</v>
      </c>
      <c r="I1170" s="7" t="s">
        <v>8</v>
      </c>
      <c r="J1170" s="7" t="s">
        <v>8</v>
      </c>
      <c r="K1170" s="7" t="s">
        <v>6</v>
      </c>
      <c r="L1170" s="7" t="s">
        <v>2030</v>
      </c>
      <c r="M1170" s="7" t="s">
        <v>2653</v>
      </c>
      <c r="N1170" s="42" t="s">
        <v>1178</v>
      </c>
      <c r="O1170" s="22"/>
      <c r="P1170" s="42" t="s">
        <v>160</v>
      </c>
      <c r="Q1170" s="44" t="s">
        <v>1181</v>
      </c>
      <c r="R1170" s="44" t="s">
        <v>1625</v>
      </c>
      <c r="S1170" s="19" t="s">
        <v>160</v>
      </c>
      <c r="T1170" s="19" t="s">
        <v>160</v>
      </c>
      <c r="U1170" s="42">
        <v>1</v>
      </c>
      <c r="V1170" s="20" t="s">
        <v>160</v>
      </c>
      <c r="W1170" s="20" t="s">
        <v>160</v>
      </c>
      <c r="X1170" s="20"/>
      <c r="Y1170" s="20"/>
      <c r="Z1170" s="20"/>
      <c r="AA1170" s="20"/>
      <c r="AB1170" s="20"/>
      <c r="AC1170" s="20"/>
      <c r="AD1170" s="20"/>
      <c r="AE1170" s="20"/>
      <c r="AF1170" s="20"/>
      <c r="AG1170" s="20"/>
      <c r="AH1170" s="20"/>
      <c r="AI1170" s="20"/>
      <c r="AJ1170" s="20"/>
      <c r="AK1170" s="20"/>
      <c r="AL1170" s="20"/>
      <c r="AM1170" s="20"/>
      <c r="AN1170" s="20"/>
      <c r="AO1170" s="20"/>
      <c r="AP1170" s="20"/>
      <c r="AQ1170" s="20"/>
      <c r="AR1170" s="20"/>
      <c r="AS1170" s="20"/>
      <c r="AT1170" s="20"/>
      <c r="AU1170" s="20"/>
      <c r="AV1170" s="20"/>
      <c r="AW1170" s="20"/>
      <c r="AX1170" s="20"/>
      <c r="AY1170" s="20"/>
      <c r="AZ1170" s="20"/>
      <c r="BA1170" s="20"/>
      <c r="BB1170" s="20"/>
      <c r="BC1170" s="20"/>
      <c r="BD1170" s="20"/>
      <c r="BE1170" s="20"/>
    </row>
    <row r="1171" spans="1:57" x14ac:dyDescent="0.25">
      <c r="A1171" s="9" t="s">
        <v>706</v>
      </c>
      <c r="B1171" s="140">
        <v>176</v>
      </c>
      <c r="C1171" s="23" t="s">
        <v>748</v>
      </c>
      <c r="D1171" s="62" t="s">
        <v>113</v>
      </c>
      <c r="E1171" s="5">
        <f>59+19/60+27/3600</f>
        <v>59.32416666666667</v>
      </c>
      <c r="F1171" s="5">
        <f>18+4/60+54/3600</f>
        <v>18.081666666666667</v>
      </c>
      <c r="G1171" s="43"/>
      <c r="H1171" s="9" t="s">
        <v>150</v>
      </c>
      <c r="I1171" s="7" t="s">
        <v>8</v>
      </c>
      <c r="J1171" s="7" t="s">
        <v>8</v>
      </c>
      <c r="K1171" s="9" t="s">
        <v>6</v>
      </c>
      <c r="L1171" s="7" t="s">
        <v>2030</v>
      </c>
      <c r="M1171" s="7" t="s">
        <v>2653</v>
      </c>
      <c r="N1171" s="19" t="s">
        <v>1178</v>
      </c>
      <c r="O1171" s="22"/>
      <c r="P1171" s="19" t="s">
        <v>160</v>
      </c>
      <c r="Q1171" s="44" t="s">
        <v>1181</v>
      </c>
      <c r="R1171" s="44" t="s">
        <v>1625</v>
      </c>
      <c r="S1171" s="19" t="s">
        <v>160</v>
      </c>
      <c r="T1171" s="19" t="s">
        <v>160</v>
      </c>
      <c r="U1171" s="19">
        <v>1</v>
      </c>
      <c r="V1171" s="19" t="s">
        <v>160</v>
      </c>
      <c r="W1171" s="19" t="s">
        <v>160</v>
      </c>
      <c r="BB1171" s="19"/>
      <c r="BC1171" s="19"/>
      <c r="BD1171" s="19"/>
      <c r="BE1171" s="19"/>
    </row>
    <row r="1172" spans="1:57" x14ac:dyDescent="0.25">
      <c r="A1172" s="76" t="s">
        <v>8</v>
      </c>
      <c r="B1172" s="53">
        <v>98210</v>
      </c>
      <c r="C1172" s="53" t="s">
        <v>2443</v>
      </c>
      <c r="D1172" s="53" t="s">
        <v>2442</v>
      </c>
      <c r="E1172" s="3">
        <v>59.341700000000003</v>
      </c>
      <c r="F1172" s="3">
        <v>18.0549</v>
      </c>
      <c r="G1172" s="53">
        <v>43.133000000000003</v>
      </c>
      <c r="H1172" s="53"/>
      <c r="I1172" s="21" t="s">
        <v>8</v>
      </c>
      <c r="J1172" s="76" t="s">
        <v>8</v>
      </c>
      <c r="K1172" s="54" t="s">
        <v>5</v>
      </c>
      <c r="L1172" s="5" t="s">
        <v>2680</v>
      </c>
      <c r="M1172" s="7" t="s">
        <v>2653</v>
      </c>
      <c r="N1172" s="19" t="s">
        <v>2536</v>
      </c>
      <c r="P1172" s="19" t="s">
        <v>160</v>
      </c>
      <c r="AR1172" s="19" t="s">
        <v>160</v>
      </c>
      <c r="AT1172" s="19" t="s">
        <v>160</v>
      </c>
      <c r="AU1172" s="19" t="s">
        <v>160</v>
      </c>
      <c r="AV1172" s="19" t="s">
        <v>160</v>
      </c>
      <c r="AX1172" s="19" t="s">
        <v>160</v>
      </c>
      <c r="AZ1172" s="19" t="s">
        <v>160</v>
      </c>
      <c r="BB1172" s="19"/>
      <c r="BC1172" s="19"/>
      <c r="BD1172" s="19"/>
      <c r="BE1172" s="19"/>
    </row>
    <row r="1173" spans="1:57" x14ac:dyDescent="0.25">
      <c r="A1173" s="76" t="s">
        <v>8</v>
      </c>
      <c r="B1173" s="53">
        <v>98230</v>
      </c>
      <c r="C1173" s="53" t="s">
        <v>2614</v>
      </c>
      <c r="D1173" s="53" t="s">
        <v>2387</v>
      </c>
      <c r="E1173" s="3">
        <v>59.341700000000003</v>
      </c>
      <c r="F1173" s="3">
        <v>18.0549</v>
      </c>
      <c r="G1173" s="53">
        <v>43.133000000000003</v>
      </c>
      <c r="H1173" s="53"/>
      <c r="I1173" s="21" t="s">
        <v>8</v>
      </c>
      <c r="J1173" s="76" t="s">
        <v>8</v>
      </c>
      <c r="K1173" s="54" t="s">
        <v>5</v>
      </c>
      <c r="L1173" s="5" t="s">
        <v>2695</v>
      </c>
      <c r="M1173" s="7" t="s">
        <v>2653</v>
      </c>
      <c r="N1173" s="19" t="s">
        <v>2388</v>
      </c>
      <c r="P1173" s="19" t="s">
        <v>160</v>
      </c>
      <c r="AR1173" s="19" t="s">
        <v>160</v>
      </c>
      <c r="AT1173" s="19" t="s">
        <v>160</v>
      </c>
      <c r="AU1173" s="19" t="s">
        <v>160</v>
      </c>
      <c r="AV1173" s="19" t="s">
        <v>160</v>
      </c>
      <c r="AW1173" s="19" t="s">
        <v>160</v>
      </c>
      <c r="AX1173" s="19" t="s">
        <v>160</v>
      </c>
      <c r="AY1173" s="19" t="s">
        <v>160</v>
      </c>
      <c r="BB1173" s="19"/>
      <c r="BC1173" s="19"/>
      <c r="BD1173" s="19"/>
      <c r="BE1173" s="19"/>
    </row>
    <row r="1174" spans="1:57" x14ac:dyDescent="0.25">
      <c r="A1174" s="9" t="s">
        <v>8</v>
      </c>
      <c r="B1174" s="27">
        <v>37211</v>
      </c>
      <c r="C1174" s="28" t="s">
        <v>2007</v>
      </c>
      <c r="D1174" s="28" t="s">
        <v>1526</v>
      </c>
      <c r="E1174" s="25">
        <v>57.3</v>
      </c>
      <c r="F1174" s="25">
        <v>17.966699999999999</v>
      </c>
      <c r="H1174" s="9" t="s">
        <v>150</v>
      </c>
      <c r="I1174" s="9" t="s">
        <v>8</v>
      </c>
      <c r="J1174" s="7" t="s">
        <v>8</v>
      </c>
      <c r="K1174" s="6" t="s">
        <v>2455</v>
      </c>
      <c r="L1174" s="7" t="s">
        <v>2027</v>
      </c>
      <c r="M1174" s="28" t="s">
        <v>717</v>
      </c>
      <c r="N1174" s="19" t="s">
        <v>1837</v>
      </c>
      <c r="O1174" s="22"/>
      <c r="T1174" s="7"/>
      <c r="X1174" s="19" t="s">
        <v>160</v>
      </c>
      <c r="BA1174" s="7"/>
      <c r="BB1174" s="7"/>
      <c r="BC1174" s="7"/>
      <c r="BD1174" s="7"/>
      <c r="BE1174" s="7"/>
    </row>
    <row r="1175" spans="1:57" x14ac:dyDescent="0.25">
      <c r="A1175" s="6" t="s">
        <v>8</v>
      </c>
      <c r="B1175" s="9">
        <v>77180</v>
      </c>
      <c r="C1175" s="9" t="s">
        <v>2415</v>
      </c>
      <c r="D1175" s="9" t="s">
        <v>1526</v>
      </c>
      <c r="E1175" s="3">
        <v>57.289299999999997</v>
      </c>
      <c r="F1175" s="3">
        <v>17.962299999999999</v>
      </c>
      <c r="G1175" s="9">
        <v>40</v>
      </c>
      <c r="H1175" s="9" t="s">
        <v>150</v>
      </c>
      <c r="I1175" s="6" t="s">
        <v>8</v>
      </c>
      <c r="J1175" s="21" t="s">
        <v>8</v>
      </c>
      <c r="K1175" s="3" t="s">
        <v>5</v>
      </c>
      <c r="L1175" s="5" t="s">
        <v>2681</v>
      </c>
      <c r="M1175" s="7" t="s">
        <v>717</v>
      </c>
      <c r="N1175" s="19" t="s">
        <v>2496</v>
      </c>
      <c r="O1175" s="22"/>
      <c r="P1175" s="19" t="s">
        <v>160</v>
      </c>
      <c r="AR1175" s="19" t="s">
        <v>160</v>
      </c>
      <c r="AT1175" s="19" t="s">
        <v>160</v>
      </c>
      <c r="AX1175" s="19" t="s">
        <v>160</v>
      </c>
      <c r="AZ1175" s="19" t="s">
        <v>160</v>
      </c>
      <c r="BB1175" s="19"/>
      <c r="BC1175" s="19"/>
      <c r="BD1175" s="19"/>
      <c r="BE1175" s="19"/>
    </row>
    <row r="1176" spans="1:57" x14ac:dyDescent="0.25">
      <c r="A1176" s="6" t="s">
        <v>8</v>
      </c>
      <c r="B1176" s="9">
        <v>117610</v>
      </c>
      <c r="C1176" s="9" t="s">
        <v>2438</v>
      </c>
      <c r="D1176" s="9" t="s">
        <v>1527</v>
      </c>
      <c r="E1176" s="3">
        <v>61.166600000000003</v>
      </c>
      <c r="F1176" s="3">
        <v>17.333300000000001</v>
      </c>
      <c r="G1176" s="9">
        <v>10</v>
      </c>
      <c r="H1176" s="9" t="s">
        <v>150</v>
      </c>
      <c r="I1176" s="6" t="s">
        <v>8</v>
      </c>
      <c r="J1176" s="21" t="s">
        <v>8</v>
      </c>
      <c r="K1176" s="3" t="s">
        <v>5</v>
      </c>
      <c r="L1176" s="5" t="s">
        <v>2689</v>
      </c>
      <c r="M1176" s="7" t="s">
        <v>717</v>
      </c>
      <c r="N1176" s="19" t="s">
        <v>2507</v>
      </c>
      <c r="O1176" s="22"/>
      <c r="P1176" s="19" t="s">
        <v>160</v>
      </c>
      <c r="AR1176" s="19" t="s">
        <v>160</v>
      </c>
      <c r="AT1176" s="19" t="s">
        <v>160</v>
      </c>
      <c r="AZ1176" s="19" t="s">
        <v>160</v>
      </c>
      <c r="BB1176" s="19"/>
      <c r="BC1176" s="19"/>
      <c r="BD1176" s="19"/>
      <c r="BE1176" s="19"/>
    </row>
    <row r="1177" spans="1:57" x14ac:dyDescent="0.25">
      <c r="A1177" s="6" t="s">
        <v>8</v>
      </c>
      <c r="B1177" s="9">
        <v>163920</v>
      </c>
      <c r="C1177" s="9" t="s">
        <v>2389</v>
      </c>
      <c r="D1177" s="9" t="s">
        <v>1528</v>
      </c>
      <c r="E1177" s="3">
        <v>65.730599999999995</v>
      </c>
      <c r="F1177" s="3">
        <v>23.092400000000001</v>
      </c>
      <c r="G1177" s="9">
        <v>7</v>
      </c>
      <c r="H1177" s="9" t="s">
        <v>150</v>
      </c>
      <c r="I1177" s="6" t="s">
        <v>8</v>
      </c>
      <c r="J1177" s="21" t="s">
        <v>8</v>
      </c>
      <c r="K1177" s="3" t="s">
        <v>5</v>
      </c>
      <c r="L1177" s="5" t="s">
        <v>2680</v>
      </c>
      <c r="M1177" s="7" t="s">
        <v>717</v>
      </c>
      <c r="N1177" s="19" t="s">
        <v>2537</v>
      </c>
      <c r="O1177" s="22"/>
      <c r="P1177" s="19" t="s">
        <v>160</v>
      </c>
      <c r="AR1177" s="19" t="s">
        <v>160</v>
      </c>
      <c r="AT1177" s="19" t="s">
        <v>160</v>
      </c>
      <c r="AV1177" s="19" t="s">
        <v>160</v>
      </c>
      <c r="AX1177" s="19" t="s">
        <v>160</v>
      </c>
      <c r="AZ1177" s="19" t="s">
        <v>160</v>
      </c>
      <c r="BB1177" s="19"/>
      <c r="BC1177" s="19"/>
      <c r="BD1177" s="19"/>
      <c r="BE1177" s="19"/>
    </row>
    <row r="1178" spans="1:57" s="94" customFormat="1" x14ac:dyDescent="0.25">
      <c r="A1178" s="32" t="s">
        <v>707</v>
      </c>
      <c r="B1178" s="33"/>
      <c r="C1178" s="33" t="s">
        <v>1529</v>
      </c>
      <c r="D1178" s="33" t="s">
        <v>2721</v>
      </c>
      <c r="E1178" s="35"/>
      <c r="F1178" s="35"/>
      <c r="G1178" s="33"/>
      <c r="H1178" s="33" t="s">
        <v>150</v>
      </c>
      <c r="I1178" s="21" t="s">
        <v>8</v>
      </c>
      <c r="J1178" s="32" t="s">
        <v>8</v>
      </c>
      <c r="K1178" s="35" t="s">
        <v>5</v>
      </c>
      <c r="L1178" s="35" t="s">
        <v>2043</v>
      </c>
      <c r="M1178" s="33" t="s">
        <v>2653</v>
      </c>
      <c r="N1178" s="37"/>
      <c r="O1178" s="67"/>
      <c r="P1178" s="37" t="s">
        <v>160</v>
      </c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37"/>
      <c r="AE1178" s="37"/>
      <c r="AF1178" s="37"/>
      <c r="AG1178" s="37"/>
      <c r="AH1178" s="37"/>
      <c r="AI1178" s="37"/>
      <c r="AJ1178" s="37"/>
      <c r="AK1178" s="37"/>
      <c r="AL1178" s="37"/>
      <c r="AM1178" s="37"/>
      <c r="AN1178" s="37"/>
      <c r="AO1178" s="37"/>
      <c r="AP1178" s="37"/>
      <c r="AQ1178" s="37"/>
      <c r="AR1178" s="37" t="s">
        <v>160</v>
      </c>
      <c r="AS1178" s="37" t="s">
        <v>160</v>
      </c>
      <c r="AT1178" s="37"/>
      <c r="AU1178" s="37"/>
      <c r="AV1178" s="37"/>
      <c r="AW1178" s="37"/>
      <c r="AX1178" s="37"/>
      <c r="AY1178" s="37"/>
      <c r="AZ1178" s="37"/>
      <c r="BA1178" s="37"/>
      <c r="BB1178" s="37"/>
      <c r="BC1178" s="37"/>
      <c r="BD1178" s="37"/>
      <c r="BE1178" s="37"/>
    </row>
    <row r="1179" spans="1:57" x14ac:dyDescent="0.25">
      <c r="A1179" s="114" t="s">
        <v>2773</v>
      </c>
      <c r="B1179" s="94" t="s">
        <v>3006</v>
      </c>
      <c r="C1179" s="94" t="s">
        <v>1529</v>
      </c>
      <c r="D1179" s="163" t="s">
        <v>1530</v>
      </c>
      <c r="E1179" s="93">
        <f>65+41/60+49.92/3600</f>
        <v>65.697200000000009</v>
      </c>
      <c r="F1179" s="93">
        <f>23+5/60+45.24/3600</f>
        <v>23.0959</v>
      </c>
      <c r="G1179" s="94">
        <v>2.3940000000000001</v>
      </c>
      <c r="H1179" s="94" t="s">
        <v>150</v>
      </c>
      <c r="I1179" s="122" t="s">
        <v>8</v>
      </c>
      <c r="J1179" s="122" t="s">
        <v>8</v>
      </c>
      <c r="K1179" s="82" t="s">
        <v>5</v>
      </c>
      <c r="L1179" s="93" t="s">
        <v>2681</v>
      </c>
      <c r="M1179" s="105" t="s">
        <v>2653</v>
      </c>
      <c r="N1179" s="108" t="s">
        <v>2510</v>
      </c>
      <c r="O1179" s="104"/>
      <c r="P1179" s="108" t="s">
        <v>160</v>
      </c>
      <c r="Q1179" s="108"/>
      <c r="R1179" s="108"/>
      <c r="S1179" s="108"/>
      <c r="T1179" s="108"/>
      <c r="U1179" s="108"/>
      <c r="V1179" s="108"/>
      <c r="W1179" s="108"/>
      <c r="X1179" s="108"/>
      <c r="Y1179" s="108"/>
      <c r="Z1179" s="108"/>
      <c r="AA1179" s="108"/>
      <c r="AB1179" s="108"/>
      <c r="AC1179" s="108"/>
      <c r="AD1179" s="108"/>
      <c r="AE1179" s="108"/>
      <c r="AF1179" s="108"/>
      <c r="AG1179" s="108"/>
      <c r="AH1179" s="108"/>
      <c r="AI1179" s="108"/>
      <c r="AJ1179" s="108"/>
      <c r="AK1179" s="108"/>
      <c r="AL1179" s="108"/>
      <c r="AM1179" s="108"/>
      <c r="AN1179" s="108"/>
      <c r="AO1179" s="108"/>
      <c r="AP1179" s="108"/>
      <c r="AQ1179" s="108"/>
      <c r="AR1179" s="108" t="s">
        <v>160</v>
      </c>
      <c r="AS1179" s="108" t="s">
        <v>160</v>
      </c>
      <c r="AT1179" s="108" t="s">
        <v>160</v>
      </c>
      <c r="AU1179" s="108" t="s">
        <v>160</v>
      </c>
      <c r="AV1179" s="108"/>
      <c r="AW1179" s="108"/>
      <c r="AX1179" s="108" t="s">
        <v>160</v>
      </c>
      <c r="AY1179" s="108" t="s">
        <v>160</v>
      </c>
      <c r="AZ1179" s="108" t="s">
        <v>160</v>
      </c>
      <c r="BA1179" s="108" t="s">
        <v>160</v>
      </c>
      <c r="BB1179" s="108"/>
      <c r="BC1179" s="108"/>
      <c r="BD1179" s="108"/>
      <c r="BE1179" s="108"/>
    </row>
    <row r="1180" spans="1:57" s="33" customFormat="1" x14ac:dyDescent="0.25">
      <c r="A1180" s="6" t="s">
        <v>8</v>
      </c>
      <c r="B1180" s="9">
        <v>163900</v>
      </c>
      <c r="C1180" s="9" t="s">
        <v>1529</v>
      </c>
      <c r="D1180" s="9" t="s">
        <v>1530</v>
      </c>
      <c r="E1180" s="5">
        <f>65+41/60+49.92/3600</f>
        <v>65.697200000000009</v>
      </c>
      <c r="F1180" s="5">
        <f>23+5/60+45.24/3600</f>
        <v>23.0959</v>
      </c>
      <c r="G1180" s="9">
        <v>2.3940000000000001</v>
      </c>
      <c r="H1180" s="9" t="s">
        <v>150</v>
      </c>
      <c r="I1180" s="21" t="s">
        <v>8</v>
      </c>
      <c r="J1180" s="21" t="s">
        <v>8</v>
      </c>
      <c r="K1180" s="3" t="s">
        <v>5</v>
      </c>
      <c r="L1180" s="5" t="s">
        <v>2681</v>
      </c>
      <c r="M1180" s="7" t="s">
        <v>2653</v>
      </c>
      <c r="N1180" s="19" t="s">
        <v>2510</v>
      </c>
      <c r="O1180" s="22"/>
      <c r="P1180" s="19" t="s">
        <v>160</v>
      </c>
      <c r="Q1180" s="19"/>
      <c r="R1180" s="19"/>
      <c r="S1180" s="19"/>
      <c r="T1180" s="19"/>
      <c r="U1180" s="19"/>
      <c r="V1180" s="19"/>
      <c r="W1180" s="19"/>
      <c r="X1180" s="19"/>
      <c r="Y1180" s="19"/>
      <c r="Z1180" s="19"/>
      <c r="AA1180" s="19"/>
      <c r="AB1180" s="19"/>
      <c r="AC1180" s="19"/>
      <c r="AD1180" s="19"/>
      <c r="AE1180" s="19"/>
      <c r="AF1180" s="19"/>
      <c r="AG1180" s="19"/>
      <c r="AH1180" s="19"/>
      <c r="AI1180" s="19"/>
      <c r="AJ1180" s="19"/>
      <c r="AK1180" s="19"/>
      <c r="AL1180" s="19"/>
      <c r="AM1180" s="19"/>
      <c r="AN1180" s="19"/>
      <c r="AO1180" s="19"/>
      <c r="AP1180" s="19"/>
      <c r="AQ1180" s="19"/>
      <c r="AR1180" s="19" t="s">
        <v>160</v>
      </c>
      <c r="AS1180" s="19" t="s">
        <v>160</v>
      </c>
      <c r="AT1180" s="19" t="s">
        <v>160</v>
      </c>
      <c r="AU1180" s="19" t="s">
        <v>160</v>
      </c>
      <c r="AV1180" s="19"/>
      <c r="AW1180" s="19"/>
      <c r="AX1180" s="19" t="s">
        <v>160</v>
      </c>
      <c r="AY1180" s="19" t="s">
        <v>160</v>
      </c>
      <c r="AZ1180" s="19" t="s">
        <v>160</v>
      </c>
      <c r="BA1180" s="19" t="s">
        <v>160</v>
      </c>
      <c r="BB1180" s="19"/>
      <c r="BC1180" s="19"/>
      <c r="BD1180" s="19"/>
      <c r="BE1180" s="19"/>
    </row>
    <row r="1181" spans="1:57" x14ac:dyDescent="0.25">
      <c r="A1181" s="6" t="s">
        <v>706</v>
      </c>
      <c r="B1181" s="9">
        <v>222</v>
      </c>
      <c r="C1181" s="9" t="s">
        <v>1529</v>
      </c>
      <c r="D1181" s="88" t="s">
        <v>2722</v>
      </c>
      <c r="E1181" s="3">
        <f>65+41/60+50/3600</f>
        <v>65.697222222222223</v>
      </c>
      <c r="F1181" s="3">
        <f>23+5/60+45/3600</f>
        <v>23.095833333333331</v>
      </c>
      <c r="G1181" s="33"/>
      <c r="H1181" s="9" t="s">
        <v>150</v>
      </c>
      <c r="I1181" s="21" t="s">
        <v>8</v>
      </c>
      <c r="J1181" s="21" t="s">
        <v>8</v>
      </c>
      <c r="K1181" s="3" t="s">
        <v>5</v>
      </c>
      <c r="L1181" s="5" t="s">
        <v>2043</v>
      </c>
      <c r="M1181" s="7" t="s">
        <v>2653</v>
      </c>
      <c r="O1181" s="22"/>
      <c r="P1181" s="19" t="s">
        <v>160</v>
      </c>
      <c r="AR1181" s="19" t="s">
        <v>160</v>
      </c>
      <c r="AS1181" s="19" t="s">
        <v>160</v>
      </c>
      <c r="BB1181" s="19"/>
      <c r="BC1181" s="19"/>
      <c r="BD1181" s="19"/>
      <c r="BE1181" s="19"/>
    </row>
    <row r="1182" spans="1:57" s="94" customFormat="1" x14ac:dyDescent="0.25">
      <c r="A1182" s="9" t="s">
        <v>707</v>
      </c>
      <c r="B1182" s="39" t="s">
        <v>600</v>
      </c>
      <c r="C1182" s="39" t="s">
        <v>925</v>
      </c>
      <c r="D1182" s="40" t="s">
        <v>601</v>
      </c>
      <c r="E1182" s="46" t="s">
        <v>2164</v>
      </c>
      <c r="F1182" s="46" t="s">
        <v>2165</v>
      </c>
      <c r="G1182" s="40"/>
      <c r="H1182" s="9" t="s">
        <v>150</v>
      </c>
      <c r="I1182" s="41" t="s">
        <v>169</v>
      </c>
      <c r="J1182" s="41" t="s">
        <v>169</v>
      </c>
      <c r="K1182" s="40" t="s">
        <v>5</v>
      </c>
      <c r="L1182" s="41" t="s">
        <v>2043</v>
      </c>
      <c r="M1182" s="7" t="s">
        <v>2653</v>
      </c>
      <c r="N1182" s="19"/>
      <c r="O1182" s="19"/>
      <c r="P1182" s="19"/>
      <c r="Q1182" s="19"/>
      <c r="R1182" s="19"/>
      <c r="S1182" s="19"/>
      <c r="T1182" s="19"/>
      <c r="U1182" s="19"/>
      <c r="V1182" s="42"/>
      <c r="W1182" s="42"/>
      <c r="X1182" s="42"/>
      <c r="Y1182" s="42"/>
      <c r="Z1182" s="42"/>
      <c r="AA1182" s="42"/>
      <c r="AB1182" s="42"/>
      <c r="AC1182" s="42"/>
      <c r="AD1182" s="42"/>
      <c r="AE1182" s="42"/>
      <c r="AF1182" s="42"/>
      <c r="AG1182" s="42"/>
      <c r="AH1182" s="42"/>
      <c r="AI1182" s="42"/>
      <c r="AJ1182" s="42"/>
      <c r="AK1182" s="42"/>
      <c r="AL1182" s="42"/>
      <c r="AM1182" s="42"/>
      <c r="AN1182" s="42"/>
      <c r="AO1182" s="42"/>
      <c r="AP1182" s="42"/>
      <c r="AQ1182" s="42"/>
      <c r="AR1182" s="42" t="s">
        <v>160</v>
      </c>
      <c r="AS1182" s="42" t="s">
        <v>160</v>
      </c>
      <c r="AT1182" s="19"/>
      <c r="AU1182" s="19"/>
      <c r="AV1182" s="19"/>
      <c r="AW1182" s="19"/>
      <c r="AX1182" s="19"/>
      <c r="AY1182" s="19"/>
      <c r="AZ1182" s="42"/>
      <c r="BA1182" s="42"/>
      <c r="BB1182" s="42"/>
      <c r="BC1182" s="42"/>
      <c r="BD1182" s="42"/>
      <c r="BE1182" s="42"/>
    </row>
    <row r="1183" spans="1:57" x14ac:dyDescent="0.25">
      <c r="A1183" s="114" t="s">
        <v>2773</v>
      </c>
      <c r="B1183" s="110" t="s">
        <v>3000</v>
      </c>
      <c r="C1183" s="115" t="s">
        <v>925</v>
      </c>
      <c r="D1183" s="153" t="s">
        <v>116</v>
      </c>
      <c r="E1183" s="93">
        <f>57+16/60+30.6012/3600</f>
        <v>57.275166999999996</v>
      </c>
      <c r="F1183" s="93">
        <f>16+33/60+10.8/3600</f>
        <v>16.553000000000001</v>
      </c>
      <c r="G1183" s="93"/>
      <c r="H1183" s="94" t="s">
        <v>150</v>
      </c>
      <c r="I1183" s="102" t="s">
        <v>169</v>
      </c>
      <c r="J1183" s="102" t="s">
        <v>169</v>
      </c>
      <c r="K1183" s="102" t="s">
        <v>5</v>
      </c>
      <c r="L1183" s="105" t="s">
        <v>2043</v>
      </c>
      <c r="M1183" s="105" t="s">
        <v>2653</v>
      </c>
      <c r="N1183" s="108"/>
      <c r="O1183" s="108"/>
      <c r="P1183" s="108"/>
      <c r="Q1183" s="108"/>
      <c r="R1183" s="108"/>
      <c r="S1183" s="108"/>
      <c r="T1183" s="108"/>
      <c r="U1183" s="108"/>
      <c r="V1183" s="108"/>
      <c r="W1183" s="108"/>
      <c r="X1183" s="108"/>
      <c r="Y1183" s="108"/>
      <c r="Z1183" s="108"/>
      <c r="AA1183" s="108"/>
      <c r="AB1183" s="108"/>
      <c r="AC1183" s="108"/>
      <c r="AD1183" s="108"/>
      <c r="AE1183" s="108"/>
      <c r="AF1183" s="108"/>
      <c r="AG1183" s="108"/>
      <c r="AH1183" s="108"/>
      <c r="AI1183" s="108"/>
      <c r="AJ1183" s="108"/>
      <c r="AK1183" s="108"/>
      <c r="AL1183" s="108"/>
      <c r="AM1183" s="108"/>
      <c r="AN1183" s="108"/>
      <c r="AO1183" s="108"/>
      <c r="AP1183" s="108"/>
      <c r="AQ1183" s="108"/>
      <c r="AR1183" s="108" t="s">
        <v>160</v>
      </c>
      <c r="AS1183" s="108" t="s">
        <v>160</v>
      </c>
      <c r="AT1183" s="108"/>
      <c r="AU1183" s="108"/>
      <c r="AV1183" s="108"/>
      <c r="AW1183" s="108"/>
      <c r="AX1183" s="108"/>
      <c r="AY1183" s="108"/>
      <c r="AZ1183" s="108"/>
      <c r="BA1183" s="108"/>
      <c r="BB1183" s="108"/>
      <c r="BC1183" s="108"/>
      <c r="BD1183" s="108"/>
      <c r="BE1183" s="108"/>
    </row>
    <row r="1184" spans="1:57" x14ac:dyDescent="0.25">
      <c r="A1184" s="6" t="s">
        <v>8</v>
      </c>
      <c r="B1184" s="23">
        <v>35135</v>
      </c>
      <c r="C1184" s="39" t="s">
        <v>925</v>
      </c>
      <c r="D1184" s="24" t="s">
        <v>831</v>
      </c>
      <c r="E1184" s="5">
        <f>57+16/60+30.6012/3600</f>
        <v>57.275166999999996</v>
      </c>
      <c r="F1184" s="5">
        <f>16+33/60+10.8/3600</f>
        <v>16.553000000000001</v>
      </c>
      <c r="G1184" s="5"/>
      <c r="H1184" s="9" t="s">
        <v>150</v>
      </c>
      <c r="I1184" s="24" t="s">
        <v>169</v>
      </c>
      <c r="J1184" s="24" t="s">
        <v>169</v>
      </c>
      <c r="K1184" s="24" t="s">
        <v>5</v>
      </c>
      <c r="L1184" s="7" t="s">
        <v>2043</v>
      </c>
      <c r="M1184" s="7" t="s">
        <v>2653</v>
      </c>
      <c r="AR1184" s="19" t="s">
        <v>160</v>
      </c>
      <c r="AS1184" s="19" t="s">
        <v>160</v>
      </c>
      <c r="BB1184" s="19"/>
      <c r="BC1184" s="19"/>
      <c r="BD1184" s="19"/>
      <c r="BE1184" s="19"/>
    </row>
    <row r="1185" spans="1:57" x14ac:dyDescent="0.25">
      <c r="A1185" s="9" t="s">
        <v>706</v>
      </c>
      <c r="B1185" s="38">
        <v>83</v>
      </c>
      <c r="C1185" s="39" t="s">
        <v>925</v>
      </c>
      <c r="D1185" s="62" t="s">
        <v>116</v>
      </c>
      <c r="E1185" s="3">
        <f>57+16/60+31/3600</f>
        <v>57.275277777777774</v>
      </c>
      <c r="F1185" s="3">
        <f>16+33/60+11/3600</f>
        <v>16.553055555555556</v>
      </c>
      <c r="G1185" s="5"/>
      <c r="H1185" s="9" t="s">
        <v>150</v>
      </c>
      <c r="I1185" s="7" t="s">
        <v>169</v>
      </c>
      <c r="J1185" s="7" t="s">
        <v>169</v>
      </c>
      <c r="K1185" s="9" t="s">
        <v>5</v>
      </c>
      <c r="L1185" s="7" t="s">
        <v>2043</v>
      </c>
      <c r="M1185" s="7" t="s">
        <v>2653</v>
      </c>
      <c r="AR1185" s="19" t="s">
        <v>160</v>
      </c>
      <c r="AS1185" s="19" t="s">
        <v>160</v>
      </c>
      <c r="BB1185" s="19"/>
      <c r="BC1185" s="19"/>
      <c r="BD1185" s="19"/>
      <c r="BE1185" s="19"/>
    </row>
    <row r="1186" spans="1:57" s="94" customFormat="1" x14ac:dyDescent="0.25">
      <c r="A1186" s="9" t="s">
        <v>707</v>
      </c>
      <c r="B1186" s="39" t="s">
        <v>592</v>
      </c>
      <c r="C1186" s="39" t="s">
        <v>830</v>
      </c>
      <c r="D1186" s="40" t="s">
        <v>593</v>
      </c>
      <c r="E1186" s="46" t="s">
        <v>2166</v>
      </c>
      <c r="F1186" s="46" t="s">
        <v>2167</v>
      </c>
      <c r="G1186" s="40"/>
      <c r="H1186" s="9" t="s">
        <v>150</v>
      </c>
      <c r="I1186" s="41" t="s">
        <v>169</v>
      </c>
      <c r="J1186" s="41" t="s">
        <v>169</v>
      </c>
      <c r="K1186" s="40" t="s">
        <v>5</v>
      </c>
      <c r="L1186" s="41" t="s">
        <v>2043</v>
      </c>
      <c r="M1186" s="7" t="s">
        <v>2653</v>
      </c>
      <c r="N1186" s="19"/>
      <c r="O1186" s="19"/>
      <c r="P1186" s="19"/>
      <c r="Q1186" s="19"/>
      <c r="R1186" s="19"/>
      <c r="S1186" s="19"/>
      <c r="T1186" s="19"/>
      <c r="U1186" s="19"/>
      <c r="V1186" s="42"/>
      <c r="W1186" s="42"/>
      <c r="X1186" s="42"/>
      <c r="Y1186" s="42"/>
      <c r="Z1186" s="42"/>
      <c r="AA1186" s="42"/>
      <c r="AB1186" s="42"/>
      <c r="AC1186" s="42"/>
      <c r="AD1186" s="42"/>
      <c r="AE1186" s="42"/>
      <c r="AF1186" s="42"/>
      <c r="AG1186" s="42"/>
      <c r="AH1186" s="42"/>
      <c r="AI1186" s="42"/>
      <c r="AJ1186" s="42"/>
      <c r="AK1186" s="42"/>
      <c r="AL1186" s="42"/>
      <c r="AM1186" s="42"/>
      <c r="AN1186" s="42"/>
      <c r="AO1186" s="42"/>
      <c r="AP1186" s="42"/>
      <c r="AQ1186" s="42"/>
      <c r="AR1186" s="42" t="s">
        <v>160</v>
      </c>
      <c r="AS1186" s="42" t="s">
        <v>160</v>
      </c>
      <c r="AT1186" s="19"/>
      <c r="AU1186" s="19"/>
      <c r="AV1186" s="19"/>
      <c r="AW1186" s="19"/>
      <c r="AX1186" s="19"/>
      <c r="AY1186" s="19"/>
      <c r="AZ1186" s="42"/>
      <c r="BA1186" s="42"/>
      <c r="BB1186" s="42"/>
      <c r="BC1186" s="42"/>
      <c r="BD1186" s="42"/>
      <c r="BE1186" s="42"/>
    </row>
    <row r="1187" spans="1:57" x14ac:dyDescent="0.25">
      <c r="A1187" s="114" t="s">
        <v>2773</v>
      </c>
      <c r="B1187" s="110" t="s">
        <v>2999</v>
      </c>
      <c r="C1187" s="115" t="s">
        <v>830</v>
      </c>
      <c r="D1187" s="153" t="s">
        <v>114</v>
      </c>
      <c r="E1187" s="93">
        <f>58+21/60+1.188/3600</f>
        <v>58.35033</v>
      </c>
      <c r="F1187" s="93">
        <f>11+25/60+35.3388/3600</f>
        <v>11.426482999999999</v>
      </c>
      <c r="G1187" s="93"/>
      <c r="H1187" s="94" t="s">
        <v>150</v>
      </c>
      <c r="I1187" s="102" t="s">
        <v>169</v>
      </c>
      <c r="J1187" s="102" t="s">
        <v>169</v>
      </c>
      <c r="K1187" s="102" t="s">
        <v>5</v>
      </c>
      <c r="L1187" s="102" t="s">
        <v>2043</v>
      </c>
      <c r="M1187" s="105" t="s">
        <v>2653</v>
      </c>
      <c r="N1187" s="108"/>
      <c r="O1187" s="108"/>
      <c r="P1187" s="108"/>
      <c r="Q1187" s="108"/>
      <c r="R1187" s="108"/>
      <c r="S1187" s="108"/>
      <c r="T1187" s="108"/>
      <c r="U1187" s="108"/>
      <c r="V1187" s="108"/>
      <c r="W1187" s="108"/>
      <c r="X1187" s="108"/>
      <c r="Y1187" s="108"/>
      <c r="Z1187" s="108"/>
      <c r="AA1187" s="108"/>
      <c r="AB1187" s="108"/>
      <c r="AC1187" s="108"/>
      <c r="AD1187" s="108"/>
      <c r="AE1187" s="108"/>
      <c r="AF1187" s="108"/>
      <c r="AG1187" s="108"/>
      <c r="AH1187" s="108"/>
      <c r="AI1187" s="108"/>
      <c r="AJ1187" s="108"/>
      <c r="AK1187" s="108"/>
      <c r="AL1187" s="108"/>
      <c r="AM1187" s="108"/>
      <c r="AN1187" s="108"/>
      <c r="AO1187" s="108"/>
      <c r="AP1187" s="108"/>
      <c r="AQ1187" s="108"/>
      <c r="AR1187" s="108" t="s">
        <v>160</v>
      </c>
      <c r="AS1187" s="108" t="s">
        <v>160</v>
      </c>
      <c r="AT1187" s="108"/>
      <c r="AU1187" s="108"/>
      <c r="AV1187" s="108"/>
      <c r="AW1187" s="108"/>
      <c r="AX1187" s="108"/>
      <c r="AY1187" s="108"/>
      <c r="AZ1187" s="108"/>
      <c r="BA1187" s="108"/>
      <c r="BB1187" s="108"/>
      <c r="BC1187" s="108"/>
      <c r="BD1187" s="108"/>
      <c r="BE1187" s="108"/>
    </row>
    <row r="1188" spans="1:57" x14ac:dyDescent="0.25">
      <c r="A1188" s="6" t="s">
        <v>8</v>
      </c>
      <c r="B1188" s="23">
        <v>35140</v>
      </c>
      <c r="C1188" s="39" t="s">
        <v>830</v>
      </c>
      <c r="D1188" s="24" t="s">
        <v>830</v>
      </c>
      <c r="E1188" s="5">
        <f>58+21/60+1.188/3600</f>
        <v>58.35033</v>
      </c>
      <c r="F1188" s="5">
        <f>11+25/60+35.3388/3600</f>
        <v>11.426482999999999</v>
      </c>
      <c r="G1188" s="5"/>
      <c r="H1188" s="9" t="s">
        <v>150</v>
      </c>
      <c r="I1188" s="24" t="s">
        <v>169</v>
      </c>
      <c r="J1188" s="24" t="s">
        <v>169</v>
      </c>
      <c r="K1188" s="24" t="s">
        <v>5</v>
      </c>
      <c r="L1188" s="24" t="s">
        <v>2043</v>
      </c>
      <c r="M1188" s="7" t="s">
        <v>2653</v>
      </c>
      <c r="AR1188" s="19" t="s">
        <v>160</v>
      </c>
      <c r="AS1188" s="19" t="s">
        <v>160</v>
      </c>
      <c r="BB1188" s="19"/>
      <c r="BC1188" s="19"/>
      <c r="BD1188" s="19"/>
      <c r="BE1188" s="19"/>
    </row>
    <row r="1189" spans="1:57" x14ac:dyDescent="0.25">
      <c r="A1189" s="9" t="s">
        <v>706</v>
      </c>
      <c r="B1189" s="38">
        <v>98</v>
      </c>
      <c r="C1189" s="39" t="s">
        <v>830</v>
      </c>
      <c r="D1189" s="62" t="s">
        <v>114</v>
      </c>
      <c r="E1189" s="3">
        <f>58+21/60+1/3600</f>
        <v>58.350277777777777</v>
      </c>
      <c r="F1189" s="3">
        <f>11+25/60+35/3600</f>
        <v>11.426388888888889</v>
      </c>
      <c r="G1189" s="5"/>
      <c r="H1189" s="9" t="s">
        <v>150</v>
      </c>
      <c r="I1189" s="7" t="s">
        <v>169</v>
      </c>
      <c r="J1189" s="7" t="s">
        <v>169</v>
      </c>
      <c r="K1189" s="9" t="s">
        <v>5</v>
      </c>
      <c r="L1189" s="7" t="s">
        <v>2043</v>
      </c>
      <c r="M1189" s="7" t="s">
        <v>2653</v>
      </c>
      <c r="AR1189" s="19" t="s">
        <v>160</v>
      </c>
      <c r="AS1189" s="19" t="s">
        <v>160</v>
      </c>
      <c r="BB1189" s="19"/>
      <c r="BC1189" s="19"/>
      <c r="BD1189" s="19"/>
      <c r="BE1189" s="19"/>
    </row>
    <row r="1190" spans="1:57" x14ac:dyDescent="0.25">
      <c r="A1190" s="9" t="s">
        <v>707</v>
      </c>
      <c r="B1190" s="137" t="s">
        <v>598</v>
      </c>
      <c r="C1190" s="23" t="s">
        <v>874</v>
      </c>
      <c r="D1190" s="40" t="s">
        <v>599</v>
      </c>
      <c r="E1190" s="46" t="s">
        <v>597</v>
      </c>
      <c r="F1190" s="46" t="s">
        <v>596</v>
      </c>
      <c r="G1190" s="52"/>
      <c r="H1190" s="9" t="s">
        <v>150</v>
      </c>
      <c r="I1190" s="41" t="s">
        <v>169</v>
      </c>
      <c r="J1190" s="41" t="s">
        <v>169</v>
      </c>
      <c r="K1190" s="40" t="s">
        <v>6</v>
      </c>
      <c r="L1190" s="41" t="s">
        <v>2031</v>
      </c>
      <c r="M1190" s="7" t="s">
        <v>2653</v>
      </c>
      <c r="N1190" s="19" t="s">
        <v>1108</v>
      </c>
      <c r="O1190" s="42" t="s">
        <v>160</v>
      </c>
      <c r="P1190" s="42" t="s">
        <v>160</v>
      </c>
      <c r="Q1190" s="44" t="s">
        <v>1631</v>
      </c>
      <c r="S1190" s="19" t="s">
        <v>160</v>
      </c>
      <c r="T1190" s="19" t="s">
        <v>160</v>
      </c>
      <c r="U1190" s="19">
        <v>2</v>
      </c>
      <c r="V1190" s="42" t="s">
        <v>160</v>
      </c>
      <c r="W1190" s="42" t="s">
        <v>160</v>
      </c>
      <c r="X1190" s="42" t="s">
        <v>160</v>
      </c>
      <c r="Y1190" s="42" t="s">
        <v>160</v>
      </c>
      <c r="Z1190" s="42"/>
      <c r="AA1190" s="42"/>
      <c r="AB1190" s="42"/>
      <c r="AC1190" s="42"/>
      <c r="AD1190" s="42"/>
      <c r="AE1190" s="42"/>
      <c r="AF1190" s="42"/>
      <c r="AG1190" s="42"/>
      <c r="AH1190" s="42"/>
      <c r="AI1190" s="42"/>
      <c r="AJ1190" s="42"/>
      <c r="AK1190" s="42"/>
      <c r="AL1190" s="42"/>
      <c r="AM1190" s="42"/>
      <c r="AN1190" s="42"/>
      <c r="AO1190" s="42"/>
      <c r="AP1190" s="42"/>
      <c r="AQ1190" s="42"/>
      <c r="AR1190" s="42"/>
      <c r="AS1190" s="42"/>
      <c r="AZ1190" s="42"/>
      <c r="BA1190" s="42"/>
      <c r="BB1190" s="42"/>
      <c r="BC1190" s="42"/>
      <c r="BD1190" s="42"/>
      <c r="BE1190" s="42"/>
    </row>
    <row r="1191" spans="1:57" x14ac:dyDescent="0.25">
      <c r="A1191" s="9" t="s">
        <v>707</v>
      </c>
      <c r="B1191" s="39" t="s">
        <v>594</v>
      </c>
      <c r="C1191" s="39" t="s">
        <v>874</v>
      </c>
      <c r="D1191" s="40" t="s">
        <v>595</v>
      </c>
      <c r="E1191" s="46" t="s">
        <v>597</v>
      </c>
      <c r="F1191" s="46" t="s">
        <v>596</v>
      </c>
      <c r="G1191" s="40"/>
      <c r="H1191" s="9" t="s">
        <v>150</v>
      </c>
      <c r="I1191" s="41" t="s">
        <v>169</v>
      </c>
      <c r="J1191" s="41" t="s">
        <v>169</v>
      </c>
      <c r="K1191" s="40" t="s">
        <v>5</v>
      </c>
      <c r="L1191" s="41" t="s">
        <v>2043</v>
      </c>
      <c r="M1191" s="7" t="s">
        <v>2653</v>
      </c>
      <c r="N1191" s="19" t="s">
        <v>1108</v>
      </c>
      <c r="V1191" s="42"/>
      <c r="W1191" s="42"/>
      <c r="X1191" s="42"/>
      <c r="Y1191" s="42"/>
      <c r="Z1191" s="42"/>
      <c r="AA1191" s="42"/>
      <c r="AB1191" s="42"/>
      <c r="AC1191" s="42"/>
      <c r="AD1191" s="42"/>
      <c r="AE1191" s="42"/>
      <c r="AF1191" s="42"/>
      <c r="AG1191" s="42"/>
      <c r="AH1191" s="42"/>
      <c r="AI1191" s="42"/>
      <c r="AJ1191" s="42"/>
      <c r="AK1191" s="42"/>
      <c r="AL1191" s="42"/>
      <c r="AM1191" s="42"/>
      <c r="AN1191" s="42"/>
      <c r="AO1191" s="42"/>
      <c r="AP1191" s="42"/>
      <c r="AQ1191" s="42"/>
      <c r="AR1191" s="42" t="s">
        <v>160</v>
      </c>
      <c r="AS1191" s="42" t="s">
        <v>160</v>
      </c>
      <c r="AZ1191" s="42"/>
      <c r="BA1191" s="42"/>
      <c r="BB1191" s="42"/>
      <c r="BC1191" s="42"/>
      <c r="BD1191" s="42"/>
      <c r="BE1191" s="42"/>
    </row>
    <row r="1192" spans="1:57" x14ac:dyDescent="0.25">
      <c r="A1192" s="53" t="s">
        <v>2763</v>
      </c>
      <c r="B1192" s="138">
        <v>35183</v>
      </c>
      <c r="C1192" s="53" t="s">
        <v>874</v>
      </c>
      <c r="D1192" s="53" t="s">
        <v>737</v>
      </c>
      <c r="E1192" s="35">
        <f>65+32/60+54.384/3600</f>
        <v>65.548439999999999</v>
      </c>
      <c r="F1192" s="35">
        <f>22+14/60+16.627/3600</f>
        <v>22.237951944444447</v>
      </c>
      <c r="G1192" s="53">
        <v>2.54</v>
      </c>
      <c r="H1192" s="9" t="s">
        <v>150</v>
      </c>
      <c r="I1192" s="7" t="s">
        <v>169</v>
      </c>
      <c r="J1192" s="53" t="s">
        <v>169</v>
      </c>
      <c r="K1192" s="7" t="s">
        <v>6</v>
      </c>
      <c r="L1192" s="7" t="s">
        <v>2031</v>
      </c>
      <c r="M1192" s="7" t="s">
        <v>2653</v>
      </c>
      <c r="N1192" s="19" t="s">
        <v>1108</v>
      </c>
      <c r="O1192" s="42" t="s">
        <v>160</v>
      </c>
      <c r="P1192" s="42" t="s">
        <v>160</v>
      </c>
      <c r="Q1192" s="44" t="s">
        <v>1631</v>
      </c>
      <c r="S1192" s="19" t="s">
        <v>160</v>
      </c>
      <c r="T1192" s="19" t="s">
        <v>160</v>
      </c>
      <c r="U1192" s="42">
        <v>2</v>
      </c>
      <c r="V1192" s="20" t="s">
        <v>160</v>
      </c>
      <c r="W1192" s="20" t="s">
        <v>160</v>
      </c>
      <c r="X1192" s="20" t="s">
        <v>160</v>
      </c>
      <c r="Y1192" s="20" t="s">
        <v>160</v>
      </c>
      <c r="Z1192" s="20"/>
      <c r="AA1192" s="20"/>
      <c r="AB1192" s="20"/>
      <c r="AC1192" s="20"/>
      <c r="AD1192" s="20"/>
      <c r="AE1192" s="20"/>
      <c r="AF1192" s="20"/>
      <c r="AG1192" s="20"/>
      <c r="AH1192" s="20"/>
      <c r="AI1192" s="20"/>
      <c r="AJ1192" s="20"/>
      <c r="AK1192" s="20"/>
      <c r="AL1192" s="20"/>
      <c r="AM1192" s="20"/>
      <c r="AN1192" s="20"/>
      <c r="AO1192" s="20"/>
      <c r="AP1192" s="20"/>
      <c r="AQ1192" s="20"/>
      <c r="AR1192" s="20" t="s">
        <v>160</v>
      </c>
      <c r="AS1192" s="20" t="s">
        <v>160</v>
      </c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94" customFormat="1" x14ac:dyDescent="0.25">
      <c r="A1193" s="105" t="s">
        <v>2773</v>
      </c>
      <c r="B1193" s="139" t="s">
        <v>2820</v>
      </c>
      <c r="C1193" s="110" t="s">
        <v>874</v>
      </c>
      <c r="D1193" s="153" t="s">
        <v>737</v>
      </c>
      <c r="E1193" s="93">
        <f>65+32/60+54.3912/3600</f>
        <v>65.548441999999994</v>
      </c>
      <c r="F1193" s="93">
        <f>22+14/60+16.6596/3600</f>
        <v>22.237961000000002</v>
      </c>
      <c r="G1193" s="87">
        <v>2.54</v>
      </c>
      <c r="H1193" s="105" t="s">
        <v>150</v>
      </c>
      <c r="I1193" s="105" t="s">
        <v>169</v>
      </c>
      <c r="J1193" s="105" t="s">
        <v>169</v>
      </c>
      <c r="K1193" s="105" t="s">
        <v>40</v>
      </c>
      <c r="L1193" s="105" t="s">
        <v>2055</v>
      </c>
      <c r="M1193" s="105" t="s">
        <v>2653</v>
      </c>
      <c r="N1193" s="108" t="s">
        <v>1108</v>
      </c>
      <c r="O1193" s="106" t="s">
        <v>160</v>
      </c>
      <c r="P1193" s="106" t="s">
        <v>160</v>
      </c>
      <c r="Q1193" s="107" t="s">
        <v>1631</v>
      </c>
      <c r="R1193" s="108"/>
      <c r="S1193" s="108" t="s">
        <v>160</v>
      </c>
      <c r="T1193" s="108" t="s">
        <v>160</v>
      </c>
      <c r="U1193" s="106">
        <v>2</v>
      </c>
      <c r="V1193" s="103" t="s">
        <v>160</v>
      </c>
      <c r="W1193" s="103" t="s">
        <v>160</v>
      </c>
      <c r="X1193" s="103" t="s">
        <v>160</v>
      </c>
      <c r="Y1193" s="103" t="s">
        <v>160</v>
      </c>
      <c r="Z1193" s="103"/>
      <c r="AA1193" s="103"/>
      <c r="AB1193" s="103"/>
      <c r="AC1193" s="103"/>
      <c r="AD1193" s="103"/>
      <c r="AE1193" s="103"/>
      <c r="AF1193" s="103"/>
      <c r="AG1193" s="103"/>
      <c r="AH1193" s="103"/>
      <c r="AI1193" s="103"/>
      <c r="AJ1193" s="103"/>
      <c r="AK1193" s="103"/>
      <c r="AL1193" s="103"/>
      <c r="AM1193" s="103"/>
      <c r="AN1193" s="103"/>
      <c r="AO1193" s="103"/>
      <c r="AP1193" s="103"/>
      <c r="AQ1193" s="103"/>
      <c r="AR1193" s="103" t="s">
        <v>160</v>
      </c>
      <c r="AS1193" s="103" t="s">
        <v>160</v>
      </c>
      <c r="AT1193" s="103"/>
      <c r="AU1193" s="103"/>
      <c r="AV1193" s="103"/>
      <c r="AW1193" s="103"/>
      <c r="AX1193" s="103"/>
      <c r="AY1193" s="103"/>
      <c r="AZ1193" s="103"/>
      <c r="BA1193" s="103"/>
      <c r="BB1193" s="103"/>
      <c r="BC1193" s="103"/>
      <c r="BD1193" s="103"/>
      <c r="BE1193" s="103"/>
    </row>
    <row r="1194" spans="1:57" x14ac:dyDescent="0.25">
      <c r="A1194" s="9" t="s">
        <v>706</v>
      </c>
      <c r="B1194" s="140">
        <v>115</v>
      </c>
      <c r="C1194" s="23" t="s">
        <v>874</v>
      </c>
      <c r="D1194" s="62" t="s">
        <v>115</v>
      </c>
      <c r="E1194" s="181">
        <v>65.549499999999995</v>
      </c>
      <c r="F1194" s="181">
        <v>22.238299999999999</v>
      </c>
      <c r="H1194" s="9" t="s">
        <v>150</v>
      </c>
      <c r="I1194" s="7" t="s">
        <v>169</v>
      </c>
      <c r="J1194" s="7" t="s">
        <v>169</v>
      </c>
      <c r="K1194" s="9" t="s">
        <v>40</v>
      </c>
      <c r="L1194" s="7" t="s">
        <v>2055</v>
      </c>
      <c r="M1194" s="7" t="s">
        <v>2653</v>
      </c>
      <c r="N1194" s="19" t="s">
        <v>1108</v>
      </c>
      <c r="O1194" s="42" t="s">
        <v>160</v>
      </c>
      <c r="P1194" s="42" t="s">
        <v>160</v>
      </c>
      <c r="Q1194" s="44" t="s">
        <v>1631</v>
      </c>
      <c r="S1194" s="19" t="s">
        <v>160</v>
      </c>
      <c r="T1194" s="19" t="s">
        <v>160</v>
      </c>
      <c r="U1194" s="19">
        <v>2</v>
      </c>
      <c r="V1194" s="19" t="s">
        <v>160</v>
      </c>
      <c r="W1194" s="19" t="s">
        <v>160</v>
      </c>
      <c r="X1194" s="19" t="s">
        <v>160</v>
      </c>
      <c r="Y1194" s="19" t="s">
        <v>160</v>
      </c>
      <c r="AR1194" s="19" t="s">
        <v>160</v>
      </c>
      <c r="AS1194" s="19" t="s">
        <v>160</v>
      </c>
      <c r="BB1194" s="19"/>
      <c r="BC1194" s="19"/>
      <c r="BD1194" s="19"/>
      <c r="BE1194" s="19"/>
    </row>
    <row r="1195" spans="1:57" s="94" customFormat="1" x14ac:dyDescent="0.25">
      <c r="A1195" s="98" t="s">
        <v>2773</v>
      </c>
      <c r="B1195" s="135">
        <v>2078</v>
      </c>
      <c r="C1195" s="98" t="s">
        <v>1277</v>
      </c>
      <c r="D1195" s="98" t="s">
        <v>1246</v>
      </c>
      <c r="E1195" s="189">
        <f>58+56/60+24/3600</f>
        <v>58.94</v>
      </c>
      <c r="F1195" s="189">
        <f>11+10/60+12/3600</f>
        <v>11.17</v>
      </c>
      <c r="G1195" s="101"/>
      <c r="H1195" s="98" t="s">
        <v>150</v>
      </c>
      <c r="I1195" s="98" t="s">
        <v>8</v>
      </c>
      <c r="J1195" s="102" t="s">
        <v>8</v>
      </c>
      <c r="K1195" s="98" t="s">
        <v>6</v>
      </c>
      <c r="L1195" s="102" t="s">
        <v>2030</v>
      </c>
      <c r="M1195" s="102" t="s">
        <v>717</v>
      </c>
      <c r="N1195" s="104" t="s">
        <v>1325</v>
      </c>
      <c r="O1195" s="104"/>
      <c r="P1195" s="104"/>
      <c r="Q1195" s="103" t="s">
        <v>1632</v>
      </c>
      <c r="R1195" s="107" t="s">
        <v>1626</v>
      </c>
      <c r="S1195" s="103"/>
      <c r="T1195" s="103"/>
      <c r="U1195" s="104">
        <v>4</v>
      </c>
      <c r="V1195" s="103" t="s">
        <v>160</v>
      </c>
      <c r="W1195" s="103"/>
      <c r="X1195" s="103"/>
      <c r="Y1195" s="103"/>
      <c r="Z1195" s="103"/>
      <c r="AA1195" s="103"/>
      <c r="AB1195" s="103"/>
      <c r="AC1195" s="103"/>
      <c r="AD1195" s="103"/>
      <c r="AE1195" s="103"/>
      <c r="AF1195" s="103"/>
      <c r="AG1195" s="103"/>
      <c r="AH1195" s="103"/>
      <c r="AI1195" s="103"/>
      <c r="AJ1195" s="103"/>
      <c r="AK1195" s="103"/>
      <c r="AL1195" s="103"/>
      <c r="AM1195" s="103"/>
      <c r="AN1195" s="103"/>
      <c r="AO1195" s="103"/>
      <c r="AP1195" s="103"/>
      <c r="AQ1195" s="103"/>
      <c r="AR1195" s="103"/>
      <c r="AS1195" s="103"/>
      <c r="AT1195" s="103"/>
      <c r="AU1195" s="103"/>
      <c r="AV1195" s="103"/>
      <c r="AW1195" s="103"/>
      <c r="AX1195" s="103"/>
      <c r="AY1195" s="103"/>
      <c r="AZ1195" s="103"/>
      <c r="BA1195" s="103"/>
      <c r="BB1195" s="103"/>
      <c r="BC1195" s="103"/>
      <c r="BD1195" s="103"/>
      <c r="BE1195" s="103"/>
    </row>
    <row r="1196" spans="1:57" x14ac:dyDescent="0.25">
      <c r="A1196" s="10" t="s">
        <v>8</v>
      </c>
      <c r="B1196" s="155">
        <v>2078</v>
      </c>
      <c r="C1196" s="10" t="s">
        <v>1277</v>
      </c>
      <c r="D1196" s="10" t="s">
        <v>1246</v>
      </c>
      <c r="E1196" s="195">
        <v>58.94</v>
      </c>
      <c r="F1196" s="195">
        <v>11.17</v>
      </c>
      <c r="G1196" s="30"/>
      <c r="H1196" s="10" t="s">
        <v>150</v>
      </c>
      <c r="I1196" s="10" t="s">
        <v>8</v>
      </c>
      <c r="J1196" s="24" t="s">
        <v>8</v>
      </c>
      <c r="K1196" s="10" t="s">
        <v>6</v>
      </c>
      <c r="L1196" s="24" t="s">
        <v>2030</v>
      </c>
      <c r="M1196" s="24" t="s">
        <v>717</v>
      </c>
      <c r="N1196" s="22" t="s">
        <v>1325</v>
      </c>
      <c r="O1196" s="22"/>
      <c r="P1196" s="22"/>
      <c r="Q1196" s="20" t="s">
        <v>1632</v>
      </c>
      <c r="R1196" s="44" t="s">
        <v>1626</v>
      </c>
      <c r="S1196" s="20"/>
      <c r="T1196" s="20"/>
      <c r="U1196" s="22">
        <v>4</v>
      </c>
      <c r="V1196" s="20" t="s">
        <v>160</v>
      </c>
      <c r="W1196" s="20"/>
      <c r="X1196" s="20"/>
      <c r="Y1196" s="20"/>
      <c r="Z1196" s="20"/>
      <c r="AA1196" s="20"/>
      <c r="AB1196" s="20"/>
      <c r="AC1196" s="20"/>
      <c r="AD1196" s="20"/>
      <c r="AE1196" s="20"/>
      <c r="AF1196" s="20"/>
      <c r="AG1196" s="20"/>
      <c r="AH1196" s="20"/>
      <c r="AI1196" s="20"/>
      <c r="AJ1196" s="20"/>
      <c r="AK1196" s="20"/>
      <c r="AL1196" s="20"/>
      <c r="AM1196" s="20"/>
      <c r="AN1196" s="20"/>
      <c r="AO1196" s="20"/>
      <c r="AP1196" s="20"/>
      <c r="AQ1196" s="20"/>
      <c r="AR1196" s="20"/>
      <c r="AS1196" s="20"/>
      <c r="AT1196" s="20"/>
      <c r="AU1196" s="20"/>
      <c r="AV1196" s="20"/>
      <c r="AW1196" s="20"/>
      <c r="AX1196" s="20"/>
      <c r="AY1196" s="20"/>
      <c r="AZ1196" s="20"/>
      <c r="BA1196" s="20"/>
      <c r="BB1196" s="20"/>
      <c r="BC1196" s="20"/>
      <c r="BD1196" s="20"/>
      <c r="BE1196" s="20"/>
    </row>
    <row r="1197" spans="1:57" x14ac:dyDescent="0.25">
      <c r="A1197" s="6" t="s">
        <v>8</v>
      </c>
      <c r="B1197" s="9">
        <v>81560</v>
      </c>
      <c r="C1197" s="9" t="s">
        <v>2293</v>
      </c>
      <c r="D1197" s="9" t="s">
        <v>1246</v>
      </c>
      <c r="E1197" s="3">
        <v>58.933300000000003</v>
      </c>
      <c r="F1197" s="3">
        <v>11.2</v>
      </c>
      <c r="G1197" s="9">
        <v>20</v>
      </c>
      <c r="H1197" s="9" t="s">
        <v>150</v>
      </c>
      <c r="I1197" s="6" t="s">
        <v>8</v>
      </c>
      <c r="J1197" s="21" t="s">
        <v>8</v>
      </c>
      <c r="K1197" s="3" t="s">
        <v>5</v>
      </c>
      <c r="L1197" s="5" t="s">
        <v>2680</v>
      </c>
      <c r="M1197" s="7" t="s">
        <v>717</v>
      </c>
      <c r="N1197" s="19" t="s">
        <v>2538</v>
      </c>
      <c r="O1197" s="22"/>
      <c r="P1197" s="19" t="s">
        <v>160</v>
      </c>
      <c r="AR1197" s="19" t="s">
        <v>160</v>
      </c>
      <c r="AT1197" s="19" t="s">
        <v>160</v>
      </c>
      <c r="AV1197" s="19" t="s">
        <v>160</v>
      </c>
      <c r="AX1197" s="19" t="s">
        <v>160</v>
      </c>
      <c r="AZ1197" s="19" t="s">
        <v>160</v>
      </c>
      <c r="BB1197" s="19"/>
      <c r="BC1197" s="19"/>
      <c r="BD1197" s="19"/>
      <c r="BE1197" s="19"/>
    </row>
    <row r="1198" spans="1:57" s="105" customFormat="1" x14ac:dyDescent="0.25">
      <c r="A1198" s="9" t="s">
        <v>707</v>
      </c>
      <c r="B1198" s="39" t="s">
        <v>602</v>
      </c>
      <c r="C1198" s="39" t="s">
        <v>924</v>
      </c>
      <c r="D1198" s="40" t="s">
        <v>603</v>
      </c>
      <c r="E1198" s="46" t="s">
        <v>605</v>
      </c>
      <c r="F1198" s="46" t="s">
        <v>604</v>
      </c>
      <c r="G1198" s="40"/>
      <c r="H1198" s="9" t="s">
        <v>150</v>
      </c>
      <c r="I1198" s="41" t="s">
        <v>169</v>
      </c>
      <c r="J1198" s="41" t="s">
        <v>169</v>
      </c>
      <c r="K1198" s="40" t="s">
        <v>5</v>
      </c>
      <c r="L1198" s="41" t="s">
        <v>2043</v>
      </c>
      <c r="M1198" s="7" t="s">
        <v>2653</v>
      </c>
      <c r="N1198" s="19"/>
      <c r="O1198" s="19"/>
      <c r="P1198" s="19"/>
      <c r="Q1198" s="19"/>
      <c r="R1198" s="19"/>
      <c r="S1198" s="19"/>
      <c r="T1198" s="19"/>
      <c r="U1198" s="19"/>
      <c r="V1198" s="42"/>
      <c r="W1198" s="42"/>
      <c r="X1198" s="42"/>
      <c r="Y1198" s="42"/>
      <c r="Z1198" s="42"/>
      <c r="AA1198" s="42"/>
      <c r="AB1198" s="42"/>
      <c r="AC1198" s="42"/>
      <c r="AD1198" s="42"/>
      <c r="AE1198" s="42"/>
      <c r="AF1198" s="42"/>
      <c r="AG1198" s="42"/>
      <c r="AH1198" s="42"/>
      <c r="AI1198" s="42"/>
      <c r="AJ1198" s="42"/>
      <c r="AK1198" s="42"/>
      <c r="AL1198" s="42"/>
      <c r="AM1198" s="42"/>
      <c r="AN1198" s="42"/>
      <c r="AO1198" s="42"/>
      <c r="AP1198" s="42"/>
      <c r="AQ1198" s="42"/>
      <c r="AR1198" s="42" t="s">
        <v>160</v>
      </c>
      <c r="AS1198" s="42" t="s">
        <v>160</v>
      </c>
      <c r="AT1198" s="19"/>
      <c r="AU1198" s="19"/>
      <c r="AV1198" s="19"/>
      <c r="AW1198" s="19"/>
      <c r="AX1198" s="19"/>
      <c r="AY1198" s="19"/>
      <c r="AZ1198" s="42"/>
      <c r="BA1198" s="42"/>
      <c r="BB1198" s="42"/>
      <c r="BC1198" s="42"/>
      <c r="BD1198" s="42"/>
      <c r="BE1198" s="42"/>
    </row>
    <row r="1199" spans="1:57" s="7" customFormat="1" x14ac:dyDescent="0.25">
      <c r="A1199" s="105" t="s">
        <v>2773</v>
      </c>
      <c r="B1199" s="105" t="s">
        <v>3007</v>
      </c>
      <c r="C1199" s="105" t="s">
        <v>924</v>
      </c>
      <c r="D1199" s="163" t="s">
        <v>117</v>
      </c>
      <c r="E1199" s="120">
        <f>57+5/60+17/3600</f>
        <v>57.088055555555556</v>
      </c>
      <c r="F1199" s="120">
        <f>12+14/60+13/3600</f>
        <v>12.236944444444443</v>
      </c>
      <c r="G1199" s="93"/>
      <c r="H1199" s="105" t="s">
        <v>150</v>
      </c>
      <c r="I1199" s="93" t="s">
        <v>169</v>
      </c>
      <c r="J1199" s="93" t="s">
        <v>169</v>
      </c>
      <c r="K1199" s="122" t="s">
        <v>5</v>
      </c>
      <c r="L1199" s="105" t="s">
        <v>2043</v>
      </c>
      <c r="M1199" s="105" t="s">
        <v>2653</v>
      </c>
      <c r="N1199" s="108"/>
      <c r="O1199" s="108"/>
      <c r="P1199" s="108"/>
      <c r="Q1199" s="108"/>
      <c r="R1199" s="108"/>
      <c r="S1199" s="108"/>
      <c r="T1199" s="108"/>
      <c r="U1199" s="108"/>
      <c r="V1199" s="108"/>
      <c r="W1199" s="108"/>
      <c r="X1199" s="108"/>
      <c r="Y1199" s="108"/>
      <c r="Z1199" s="108"/>
      <c r="AA1199" s="108"/>
      <c r="AB1199" s="108"/>
      <c r="AC1199" s="108"/>
      <c r="AD1199" s="108"/>
      <c r="AE1199" s="108"/>
      <c r="AF1199" s="108"/>
      <c r="AG1199" s="108"/>
      <c r="AH1199" s="108"/>
      <c r="AI1199" s="108"/>
      <c r="AJ1199" s="108"/>
      <c r="AK1199" s="108"/>
      <c r="AL1199" s="108"/>
      <c r="AM1199" s="108"/>
      <c r="AN1199" s="108"/>
      <c r="AO1199" s="108"/>
      <c r="AP1199" s="108"/>
      <c r="AQ1199" s="108"/>
      <c r="AR1199" s="108" t="s">
        <v>160</v>
      </c>
      <c r="AS1199" s="108" t="s">
        <v>160</v>
      </c>
      <c r="AT1199" s="108"/>
      <c r="AU1199" s="108"/>
      <c r="AV1199" s="108"/>
      <c r="AW1199" s="108"/>
      <c r="AX1199" s="108"/>
      <c r="AY1199" s="108"/>
      <c r="AZ1199" s="108"/>
      <c r="BA1199" s="108"/>
      <c r="BB1199" s="105"/>
      <c r="BC1199" s="105"/>
      <c r="BD1199" s="105"/>
      <c r="BE1199" s="105"/>
    </row>
    <row r="1200" spans="1:57" x14ac:dyDescent="0.25">
      <c r="A1200" s="7" t="s">
        <v>8</v>
      </c>
      <c r="B1200" s="33" t="s">
        <v>875</v>
      </c>
      <c r="C1200" s="7" t="s">
        <v>924</v>
      </c>
      <c r="D1200" s="7" t="s">
        <v>924</v>
      </c>
      <c r="E1200" s="35">
        <f>57+5/60+17/3600</f>
        <v>57.088055555555556</v>
      </c>
      <c r="F1200" s="35">
        <f>12+14/60+13/3600</f>
        <v>12.236944444444443</v>
      </c>
      <c r="G1200" s="5"/>
      <c r="H1200" s="7" t="s">
        <v>150</v>
      </c>
      <c r="I1200" s="5" t="s">
        <v>169</v>
      </c>
      <c r="J1200" s="5" t="s">
        <v>169</v>
      </c>
      <c r="K1200" s="21" t="s">
        <v>5</v>
      </c>
      <c r="L1200" s="7" t="s">
        <v>2043</v>
      </c>
      <c r="M1200" s="7" t="s">
        <v>2653</v>
      </c>
      <c r="AR1200" s="19" t="s">
        <v>160</v>
      </c>
      <c r="AS1200" s="19" t="s">
        <v>160</v>
      </c>
      <c r="BB1200" s="7"/>
      <c r="BC1200" s="7"/>
      <c r="BD1200" s="7"/>
      <c r="BE1200" s="7"/>
    </row>
    <row r="1201" spans="1:57" x14ac:dyDescent="0.25">
      <c r="A1201" s="9" t="s">
        <v>706</v>
      </c>
      <c r="B1201" s="38">
        <v>164</v>
      </c>
      <c r="C1201" s="39" t="s">
        <v>924</v>
      </c>
      <c r="D1201" s="88" t="s">
        <v>117</v>
      </c>
      <c r="E1201" s="3">
        <f>57+5/60+17/3600</f>
        <v>57.088055555555556</v>
      </c>
      <c r="F1201" s="3">
        <f>12+14/60+13/3600</f>
        <v>12.236944444444443</v>
      </c>
      <c r="G1201" s="35"/>
      <c r="H1201" s="9" t="s">
        <v>150</v>
      </c>
      <c r="I1201" s="7" t="s">
        <v>169</v>
      </c>
      <c r="J1201" s="7" t="s">
        <v>169</v>
      </c>
      <c r="K1201" s="9" t="s">
        <v>5</v>
      </c>
      <c r="L1201" s="7" t="s">
        <v>2043</v>
      </c>
      <c r="M1201" s="7" t="s">
        <v>2653</v>
      </c>
      <c r="AR1201" s="19" t="s">
        <v>160</v>
      </c>
      <c r="AS1201" s="19" t="s">
        <v>160</v>
      </c>
      <c r="BB1201" s="19"/>
      <c r="BC1201" s="19"/>
      <c r="BD1201" s="19"/>
      <c r="BE1201" s="19"/>
    </row>
    <row r="1202" spans="1:57" x14ac:dyDescent="0.25">
      <c r="A1202" s="6" t="s">
        <v>8</v>
      </c>
      <c r="B1202" s="9">
        <v>127240</v>
      </c>
      <c r="C1202" s="9" t="s">
        <v>2416</v>
      </c>
      <c r="D1202" s="9" t="s">
        <v>1531</v>
      </c>
      <c r="E1202" s="3">
        <v>62.406599999999997</v>
      </c>
      <c r="F1202" s="3">
        <v>17.266400000000001</v>
      </c>
      <c r="G1202" s="9">
        <v>35</v>
      </c>
      <c r="H1202" s="9" t="s">
        <v>150</v>
      </c>
      <c r="I1202" s="6" t="s">
        <v>8</v>
      </c>
      <c r="J1202" s="21" t="s">
        <v>8</v>
      </c>
      <c r="K1202" s="3" t="s">
        <v>5</v>
      </c>
      <c r="L1202" s="5" t="s">
        <v>2680</v>
      </c>
      <c r="M1202" s="7" t="s">
        <v>717</v>
      </c>
      <c r="N1202" s="19" t="s">
        <v>2539</v>
      </c>
      <c r="O1202" s="22"/>
      <c r="P1202" s="19" t="s">
        <v>160</v>
      </c>
      <c r="AR1202" s="19" t="s">
        <v>160</v>
      </c>
      <c r="AT1202" s="19" t="s">
        <v>160</v>
      </c>
      <c r="AV1202" s="19" t="s">
        <v>160</v>
      </c>
      <c r="AX1202" s="19" t="s">
        <v>160</v>
      </c>
      <c r="AZ1202" s="19" t="s">
        <v>160</v>
      </c>
      <c r="BB1202" s="19"/>
      <c r="BC1202" s="19"/>
      <c r="BD1202" s="19"/>
      <c r="BE1202" s="19"/>
    </row>
    <row r="1203" spans="1:57" x14ac:dyDescent="0.25">
      <c r="A1203" s="9" t="s">
        <v>706</v>
      </c>
      <c r="B1203" s="38">
        <v>191</v>
      </c>
      <c r="C1203" s="39" t="s">
        <v>2771</v>
      </c>
      <c r="D1203" s="88" t="s">
        <v>2772</v>
      </c>
      <c r="E1203" s="3">
        <f>62+24/60+9/3600</f>
        <v>62.402499999999996</v>
      </c>
      <c r="F1203" s="3">
        <f>17+23/60+52/3600</f>
        <v>17.397777777777776</v>
      </c>
      <c r="G1203" s="35"/>
      <c r="H1203" s="9" t="s">
        <v>150</v>
      </c>
      <c r="I1203" s="7" t="s">
        <v>169</v>
      </c>
      <c r="J1203" s="7" t="s">
        <v>169</v>
      </c>
      <c r="K1203" s="9" t="s">
        <v>5</v>
      </c>
      <c r="L1203" s="7" t="s">
        <v>2043</v>
      </c>
      <c r="M1203" s="7" t="s">
        <v>2653</v>
      </c>
      <c r="AR1203" s="19" t="s">
        <v>160</v>
      </c>
      <c r="AS1203" s="19" t="s">
        <v>160</v>
      </c>
      <c r="BB1203" s="19"/>
      <c r="BC1203" s="19"/>
      <c r="BD1203" s="19"/>
      <c r="BE1203" s="19"/>
    </row>
    <row r="1204" spans="1:57" x14ac:dyDescent="0.25">
      <c r="A1204" s="6" t="s">
        <v>8</v>
      </c>
      <c r="B1204" s="9">
        <v>127310</v>
      </c>
      <c r="C1204" s="9" t="s">
        <v>2450</v>
      </c>
      <c r="D1204" s="9" t="s">
        <v>1532</v>
      </c>
      <c r="E1204" s="3">
        <v>62.5246</v>
      </c>
      <c r="F1204" s="3">
        <v>17.440999999999999</v>
      </c>
      <c r="G1204" s="9">
        <v>4</v>
      </c>
      <c r="H1204" s="9" t="s">
        <v>150</v>
      </c>
      <c r="I1204" s="21" t="s">
        <v>8</v>
      </c>
      <c r="J1204" s="21" t="s">
        <v>8</v>
      </c>
      <c r="K1204" s="3" t="s">
        <v>5</v>
      </c>
      <c r="L1204" s="5" t="s">
        <v>2680</v>
      </c>
      <c r="M1204" s="7" t="s">
        <v>2653</v>
      </c>
      <c r="N1204" s="19" t="s">
        <v>2498</v>
      </c>
      <c r="O1204" s="22"/>
      <c r="P1204" s="19" t="s">
        <v>160</v>
      </c>
      <c r="AR1204" s="19" t="s">
        <v>160</v>
      </c>
      <c r="AS1204" s="19" t="s">
        <v>160</v>
      </c>
      <c r="AT1204" s="19" t="s">
        <v>160</v>
      </c>
      <c r="AU1204" s="19" t="s">
        <v>160</v>
      </c>
      <c r="AV1204" s="19" t="s">
        <v>160</v>
      </c>
      <c r="AW1204" s="19" t="s">
        <v>160</v>
      </c>
      <c r="AX1204" s="19" t="s">
        <v>160</v>
      </c>
      <c r="AY1204" s="19" t="s">
        <v>160</v>
      </c>
      <c r="AZ1204" s="19" t="s">
        <v>160</v>
      </c>
      <c r="BA1204" s="19" t="s">
        <v>160</v>
      </c>
      <c r="BB1204" s="19"/>
      <c r="BC1204" s="19"/>
      <c r="BD1204" s="19"/>
      <c r="BE1204" s="19"/>
    </row>
    <row r="1205" spans="1:57" s="94" customFormat="1" x14ac:dyDescent="0.25">
      <c r="A1205" s="9" t="s">
        <v>707</v>
      </c>
      <c r="B1205" s="137" t="s">
        <v>606</v>
      </c>
      <c r="C1205" s="23" t="s">
        <v>877</v>
      </c>
      <c r="D1205" s="40" t="s">
        <v>607</v>
      </c>
      <c r="E1205" s="46" t="s">
        <v>2168</v>
      </c>
      <c r="F1205" s="46" t="s">
        <v>2169</v>
      </c>
      <c r="G1205" s="40"/>
      <c r="H1205" s="9" t="s">
        <v>148</v>
      </c>
      <c r="I1205" s="41" t="s">
        <v>169</v>
      </c>
      <c r="J1205" s="41" t="s">
        <v>169</v>
      </c>
      <c r="K1205" s="40" t="s">
        <v>6</v>
      </c>
      <c r="L1205" s="41" t="s">
        <v>2030</v>
      </c>
      <c r="M1205" s="7" t="s">
        <v>2653</v>
      </c>
      <c r="N1205" s="19"/>
      <c r="O1205" s="19"/>
      <c r="P1205" s="19"/>
      <c r="Q1205" s="19"/>
      <c r="R1205" s="19"/>
      <c r="S1205" s="19"/>
      <c r="T1205" s="19"/>
      <c r="U1205" s="19"/>
      <c r="V1205" s="42" t="s">
        <v>160</v>
      </c>
      <c r="W1205" s="42" t="s">
        <v>160</v>
      </c>
      <c r="X1205" s="42"/>
      <c r="Y1205" s="42"/>
      <c r="Z1205" s="42"/>
      <c r="AA1205" s="42"/>
      <c r="AB1205" s="42"/>
      <c r="AC1205" s="42"/>
      <c r="AD1205" s="42"/>
      <c r="AE1205" s="42"/>
      <c r="AF1205" s="42"/>
      <c r="AG1205" s="42"/>
      <c r="AH1205" s="42"/>
      <c r="AI1205" s="42"/>
      <c r="AJ1205" s="42"/>
      <c r="AK1205" s="42"/>
      <c r="AL1205" s="42"/>
      <c r="AM1205" s="42"/>
      <c r="AN1205" s="42"/>
      <c r="AO1205" s="42"/>
      <c r="AP1205" s="42"/>
      <c r="AQ1205" s="42"/>
      <c r="AR1205" s="42"/>
      <c r="AS1205" s="42"/>
      <c r="AT1205" s="19"/>
      <c r="AU1205" s="19"/>
      <c r="AV1205" s="19"/>
      <c r="AW1205" s="19"/>
      <c r="AX1205" s="19"/>
      <c r="AY1205" s="19"/>
      <c r="AZ1205" s="42"/>
      <c r="BA1205" s="42"/>
      <c r="BB1205" s="42"/>
      <c r="BC1205" s="42"/>
      <c r="BD1205" s="42"/>
      <c r="BE1205" s="42"/>
    </row>
    <row r="1206" spans="1:57" x14ac:dyDescent="0.25">
      <c r="A1206" s="114" t="s">
        <v>2773</v>
      </c>
      <c r="B1206" s="139" t="s">
        <v>2993</v>
      </c>
      <c r="C1206" s="110" t="s">
        <v>877</v>
      </c>
      <c r="D1206" s="153" t="s">
        <v>118</v>
      </c>
      <c r="E1206" s="83">
        <f>58+42/60+29.9988/3600</f>
        <v>58.708333000000003</v>
      </c>
      <c r="F1206" s="83">
        <f>12+30/60+22.2012/3600</f>
        <v>12.506167</v>
      </c>
      <c r="G1206" s="93"/>
      <c r="H1206" s="94" t="s">
        <v>148</v>
      </c>
      <c r="I1206" s="102" t="s">
        <v>169</v>
      </c>
      <c r="J1206" s="102" t="s">
        <v>169</v>
      </c>
      <c r="K1206" s="102" t="s">
        <v>6</v>
      </c>
      <c r="L1206" s="102" t="s">
        <v>2030</v>
      </c>
      <c r="M1206" s="105" t="s">
        <v>2653</v>
      </c>
      <c r="N1206" s="108"/>
      <c r="O1206" s="108"/>
      <c r="P1206" s="108"/>
      <c r="Q1206" s="108"/>
      <c r="R1206" s="108"/>
      <c r="S1206" s="108"/>
      <c r="T1206" s="108"/>
      <c r="U1206" s="108"/>
      <c r="V1206" s="108" t="s">
        <v>160</v>
      </c>
      <c r="W1206" s="108" t="s">
        <v>160</v>
      </c>
      <c r="X1206" s="108"/>
      <c r="Y1206" s="108"/>
      <c r="Z1206" s="108"/>
      <c r="AA1206" s="108"/>
      <c r="AB1206" s="108"/>
      <c r="AC1206" s="108"/>
      <c r="AD1206" s="108"/>
      <c r="AE1206" s="108"/>
      <c r="AF1206" s="108"/>
      <c r="AG1206" s="108"/>
      <c r="AH1206" s="108"/>
      <c r="AI1206" s="108"/>
      <c r="AJ1206" s="108"/>
      <c r="AK1206" s="108"/>
      <c r="AL1206" s="108"/>
      <c r="AM1206" s="108"/>
      <c r="AN1206" s="108"/>
      <c r="AO1206" s="108"/>
      <c r="AP1206" s="108"/>
      <c r="AQ1206" s="108"/>
      <c r="AR1206" s="108"/>
      <c r="AS1206" s="108"/>
      <c r="AT1206" s="108"/>
      <c r="AU1206" s="108"/>
      <c r="AV1206" s="108"/>
      <c r="AW1206" s="108"/>
      <c r="AX1206" s="108"/>
      <c r="AY1206" s="108"/>
      <c r="AZ1206" s="108"/>
      <c r="BA1206" s="108"/>
      <c r="BB1206" s="108"/>
      <c r="BC1206" s="108"/>
      <c r="BD1206" s="108"/>
      <c r="BE1206" s="108"/>
    </row>
    <row r="1207" spans="1:57" x14ac:dyDescent="0.25">
      <c r="A1207" s="6" t="s">
        <v>8</v>
      </c>
      <c r="B1207" s="142">
        <v>35167</v>
      </c>
      <c r="C1207" s="23" t="s">
        <v>877</v>
      </c>
      <c r="D1207" s="24" t="s">
        <v>795</v>
      </c>
      <c r="E1207" s="5">
        <v>58.708033</v>
      </c>
      <c r="F1207" s="5">
        <v>12.506167</v>
      </c>
      <c r="G1207" s="5"/>
      <c r="H1207" s="9" t="s">
        <v>148</v>
      </c>
      <c r="I1207" s="24" t="s">
        <v>169</v>
      </c>
      <c r="J1207" s="24" t="s">
        <v>169</v>
      </c>
      <c r="K1207" s="24" t="s">
        <v>6</v>
      </c>
      <c r="L1207" s="24" t="s">
        <v>2030</v>
      </c>
      <c r="M1207" s="7" t="s">
        <v>2653</v>
      </c>
      <c r="V1207" s="19" t="s">
        <v>160</v>
      </c>
      <c r="W1207" s="19" t="s">
        <v>160</v>
      </c>
      <c r="BB1207" s="19"/>
      <c r="BC1207" s="19"/>
      <c r="BD1207" s="19"/>
      <c r="BE1207" s="19"/>
    </row>
    <row r="1208" spans="1:57" x14ac:dyDescent="0.25">
      <c r="A1208" s="9" t="s">
        <v>706</v>
      </c>
      <c r="B1208" s="140">
        <v>84</v>
      </c>
      <c r="C1208" s="23" t="s">
        <v>877</v>
      </c>
      <c r="D1208" s="62" t="s">
        <v>118</v>
      </c>
      <c r="E1208" s="3">
        <f>58+42/60+29/3600</f>
        <v>58.708055555555561</v>
      </c>
      <c r="F1208" s="3">
        <f>12+30/60+22/3600</f>
        <v>12.50611111111111</v>
      </c>
      <c r="G1208" s="5"/>
      <c r="H1208" s="9" t="s">
        <v>148</v>
      </c>
      <c r="I1208" s="7" t="s">
        <v>169</v>
      </c>
      <c r="J1208" s="7" t="s">
        <v>169</v>
      </c>
      <c r="K1208" s="9" t="s">
        <v>6</v>
      </c>
      <c r="L1208" s="7" t="s">
        <v>2030</v>
      </c>
      <c r="M1208" s="7" t="s">
        <v>2653</v>
      </c>
      <c r="V1208" s="19" t="s">
        <v>160</v>
      </c>
      <c r="W1208" s="19" t="s">
        <v>160</v>
      </c>
      <c r="BB1208" s="19"/>
      <c r="BC1208" s="19"/>
      <c r="BD1208" s="19"/>
      <c r="BE1208" s="19"/>
    </row>
    <row r="1209" spans="1:57" x14ac:dyDescent="0.25">
      <c r="A1209" s="53" t="s">
        <v>2763</v>
      </c>
      <c r="B1209" s="138">
        <v>35153</v>
      </c>
      <c r="C1209" s="53" t="s">
        <v>878</v>
      </c>
      <c r="D1209" s="53" t="s">
        <v>796</v>
      </c>
      <c r="E1209" s="35">
        <f>62+53/60+23.9/3600</f>
        <v>62.88997222222222</v>
      </c>
      <c r="F1209" s="35">
        <f>17+52/60+8.8/3600</f>
        <v>17.86911111111111</v>
      </c>
      <c r="G1209" s="5"/>
      <c r="H1209" s="9" t="s">
        <v>150</v>
      </c>
      <c r="I1209" s="53" t="s">
        <v>169</v>
      </c>
      <c r="J1209" s="53" t="s">
        <v>169</v>
      </c>
      <c r="K1209" s="24" t="s">
        <v>6</v>
      </c>
      <c r="L1209" s="24" t="s">
        <v>2054</v>
      </c>
      <c r="M1209" s="7" t="s">
        <v>717</v>
      </c>
      <c r="N1209" s="19" t="s">
        <v>1204</v>
      </c>
      <c r="O1209" s="19" t="s">
        <v>160</v>
      </c>
      <c r="Q1209" s="19" t="s">
        <v>1659</v>
      </c>
      <c r="U1209" s="19">
        <v>4</v>
      </c>
      <c r="V1209" s="19" t="s">
        <v>160</v>
      </c>
      <c r="AR1209" s="19" t="s">
        <v>160</v>
      </c>
      <c r="AS1209" s="53"/>
      <c r="AT1209" s="53"/>
      <c r="AU1209" s="53"/>
      <c r="AV1209" s="53"/>
      <c r="AW1209" s="53"/>
      <c r="AX1209" s="53"/>
      <c r="AY1209" s="53"/>
      <c r="AZ1209" s="117" t="s">
        <v>160</v>
      </c>
      <c r="BA1209" s="53"/>
      <c r="BB1209" s="53"/>
      <c r="BC1209" s="53"/>
      <c r="BD1209" s="53"/>
      <c r="BE1209" s="53"/>
    </row>
    <row r="1210" spans="1:57" s="94" customFormat="1" x14ac:dyDescent="0.25">
      <c r="A1210" s="114" t="s">
        <v>2773</v>
      </c>
      <c r="B1210" s="139" t="s">
        <v>2994</v>
      </c>
      <c r="C1210" s="110" t="s">
        <v>878</v>
      </c>
      <c r="D1210" s="102" t="s">
        <v>796</v>
      </c>
      <c r="E1210" s="120">
        <f>62+53/60+23.9/3600</f>
        <v>62.88997222222222</v>
      </c>
      <c r="F1210" s="120">
        <f>17+52/60+8.8/3600</f>
        <v>17.86911111111111</v>
      </c>
      <c r="G1210" s="93"/>
      <c r="H1210" s="94" t="s">
        <v>150</v>
      </c>
      <c r="I1210" s="102" t="s">
        <v>169</v>
      </c>
      <c r="J1210" s="102" t="s">
        <v>169</v>
      </c>
      <c r="K1210" s="102" t="s">
        <v>40</v>
      </c>
      <c r="L1210" s="102" t="s">
        <v>2057</v>
      </c>
      <c r="M1210" s="105" t="s">
        <v>717</v>
      </c>
      <c r="N1210" s="108" t="s">
        <v>1204</v>
      </c>
      <c r="O1210" s="108" t="s">
        <v>160</v>
      </c>
      <c r="P1210" s="108"/>
      <c r="Q1210" s="108" t="s">
        <v>1659</v>
      </c>
      <c r="R1210" s="108"/>
      <c r="S1210" s="108"/>
      <c r="T1210" s="108"/>
      <c r="U1210" s="108">
        <v>4</v>
      </c>
      <c r="V1210" s="108" t="s">
        <v>160</v>
      </c>
      <c r="W1210" s="108"/>
      <c r="X1210" s="108"/>
      <c r="Y1210" s="108"/>
      <c r="Z1210" s="108"/>
      <c r="AA1210" s="108"/>
      <c r="AB1210" s="108"/>
      <c r="AC1210" s="108"/>
      <c r="AD1210" s="108"/>
      <c r="AE1210" s="108"/>
      <c r="AF1210" s="108"/>
      <c r="AG1210" s="108"/>
      <c r="AH1210" s="108"/>
      <c r="AI1210" s="108"/>
      <c r="AJ1210" s="108"/>
      <c r="AK1210" s="108"/>
      <c r="AL1210" s="108"/>
      <c r="AM1210" s="108"/>
      <c r="AN1210" s="108"/>
      <c r="AO1210" s="108"/>
      <c r="AP1210" s="108"/>
      <c r="AQ1210" s="108"/>
      <c r="AR1210" s="108" t="s">
        <v>160</v>
      </c>
      <c r="AS1210" s="108"/>
      <c r="AT1210" s="108"/>
      <c r="AU1210" s="108"/>
      <c r="AV1210" s="108"/>
      <c r="AW1210" s="108"/>
      <c r="AX1210" s="108"/>
      <c r="AY1210" s="108"/>
      <c r="AZ1210" s="108" t="s">
        <v>160</v>
      </c>
      <c r="BA1210" s="108"/>
      <c r="BB1210" s="108"/>
      <c r="BC1210" s="108"/>
      <c r="BD1210" s="108"/>
      <c r="BE1210" s="108"/>
    </row>
    <row r="1211" spans="1:57" x14ac:dyDescent="0.25">
      <c r="A1211" s="6" t="s">
        <v>8</v>
      </c>
      <c r="B1211" s="142" t="s">
        <v>2995</v>
      </c>
      <c r="C1211" s="23" t="s">
        <v>878</v>
      </c>
      <c r="D1211" s="24" t="s">
        <v>796</v>
      </c>
      <c r="E1211" s="193">
        <v>62.896599999999999</v>
      </c>
      <c r="F1211" s="193">
        <v>17.8688</v>
      </c>
      <c r="G1211" s="5"/>
      <c r="H1211" s="9" t="s">
        <v>150</v>
      </c>
      <c r="I1211" s="24" t="s">
        <v>169</v>
      </c>
      <c r="J1211" s="24" t="s">
        <v>169</v>
      </c>
      <c r="K1211" s="24" t="s">
        <v>40</v>
      </c>
      <c r="L1211" s="24" t="s">
        <v>2057</v>
      </c>
      <c r="M1211" s="7" t="s">
        <v>717</v>
      </c>
      <c r="N1211" s="19" t="s">
        <v>1204</v>
      </c>
      <c r="O1211" s="19" t="s">
        <v>160</v>
      </c>
      <c r="Q1211" s="19" t="s">
        <v>1659</v>
      </c>
      <c r="U1211" s="19">
        <v>4</v>
      </c>
      <c r="V1211" s="19" t="s">
        <v>160</v>
      </c>
      <c r="AR1211" s="19" t="s">
        <v>160</v>
      </c>
      <c r="AZ1211" s="19" t="s">
        <v>160</v>
      </c>
      <c r="BB1211" s="19"/>
      <c r="BC1211" s="19"/>
      <c r="BD1211" s="19"/>
      <c r="BE1211" s="19"/>
    </row>
    <row r="1212" spans="1:57" x14ac:dyDescent="0.25">
      <c r="A1212" s="9" t="s">
        <v>706</v>
      </c>
      <c r="B1212" s="144">
        <v>85</v>
      </c>
      <c r="C1212" s="23" t="s">
        <v>878</v>
      </c>
      <c r="D1212" s="9" t="s">
        <v>119</v>
      </c>
      <c r="E1212" s="35">
        <f>62+53/60+24/3600</f>
        <v>62.89</v>
      </c>
      <c r="F1212" s="35">
        <f>17+52/60+9/3600</f>
        <v>17.869166666666668</v>
      </c>
      <c r="G1212" s="5"/>
      <c r="H1212" s="9" t="s">
        <v>150</v>
      </c>
      <c r="I1212" s="9" t="s">
        <v>169</v>
      </c>
      <c r="J1212" s="7" t="s">
        <v>169</v>
      </c>
      <c r="K1212" s="9" t="s">
        <v>6</v>
      </c>
      <c r="L1212" s="24" t="s">
        <v>2057</v>
      </c>
      <c r="M1212" s="7" t="s">
        <v>717</v>
      </c>
      <c r="N1212" s="19" t="s">
        <v>1204</v>
      </c>
      <c r="O1212" s="19" t="s">
        <v>160</v>
      </c>
      <c r="Q1212" s="19" t="s">
        <v>1659</v>
      </c>
      <c r="U1212" s="19">
        <v>4</v>
      </c>
      <c r="V1212" s="19" t="s">
        <v>160</v>
      </c>
      <c r="AR1212" s="19" t="s">
        <v>160</v>
      </c>
      <c r="AZ1212" s="19" t="s">
        <v>160</v>
      </c>
      <c r="BB1212" s="19"/>
      <c r="BC1212" s="19"/>
      <c r="BD1212" s="19"/>
      <c r="BE1212" s="19"/>
    </row>
    <row r="1213" spans="1:57" s="94" customFormat="1" x14ac:dyDescent="0.25">
      <c r="A1213" s="98" t="s">
        <v>2773</v>
      </c>
      <c r="B1213" s="135">
        <v>2512</v>
      </c>
      <c r="C1213" s="98" t="s">
        <v>794</v>
      </c>
      <c r="D1213" s="98" t="s">
        <v>794</v>
      </c>
      <c r="E1213" s="189">
        <f>60+10/60+12/3600</f>
        <v>60.169999999999995</v>
      </c>
      <c r="F1213" s="189">
        <f>18+49/60+48/3600</f>
        <v>18.829999999999998</v>
      </c>
      <c r="G1213" s="101"/>
      <c r="H1213" s="98" t="s">
        <v>150</v>
      </c>
      <c r="I1213" s="98" t="s">
        <v>8</v>
      </c>
      <c r="J1213" s="102" t="s">
        <v>8</v>
      </c>
      <c r="K1213" s="98" t="s">
        <v>6</v>
      </c>
      <c r="L1213" s="102" t="s">
        <v>2030</v>
      </c>
      <c r="M1213" s="102" t="s">
        <v>717</v>
      </c>
      <c r="N1213" s="104" t="s">
        <v>1290</v>
      </c>
      <c r="O1213" s="104"/>
      <c r="P1213" s="104"/>
      <c r="Q1213" s="103" t="s">
        <v>1677</v>
      </c>
      <c r="R1213" s="108"/>
      <c r="S1213" s="103"/>
      <c r="T1213" s="103"/>
      <c r="U1213" s="104">
        <v>4</v>
      </c>
      <c r="V1213" s="103" t="s">
        <v>160</v>
      </c>
      <c r="W1213" s="103"/>
      <c r="X1213" s="103"/>
      <c r="Y1213" s="103"/>
      <c r="Z1213" s="103"/>
      <c r="AA1213" s="103"/>
      <c r="AB1213" s="103"/>
      <c r="AC1213" s="103"/>
      <c r="AD1213" s="103"/>
      <c r="AE1213" s="103"/>
      <c r="AF1213" s="103"/>
      <c r="AG1213" s="103"/>
      <c r="AH1213" s="103"/>
      <c r="AI1213" s="103"/>
      <c r="AJ1213" s="103"/>
      <c r="AK1213" s="103"/>
      <c r="AL1213" s="103"/>
      <c r="AM1213" s="103"/>
      <c r="AN1213" s="103"/>
      <c r="AO1213" s="103"/>
      <c r="AP1213" s="103"/>
      <c r="AQ1213" s="103"/>
      <c r="AR1213" s="103"/>
      <c r="AS1213" s="103"/>
      <c r="AT1213" s="103"/>
      <c r="AU1213" s="103"/>
      <c r="AV1213" s="103"/>
      <c r="AW1213" s="103"/>
      <c r="AX1213" s="103"/>
      <c r="AY1213" s="103"/>
      <c r="AZ1213" s="103"/>
      <c r="BA1213" s="103"/>
      <c r="BB1213" s="103"/>
      <c r="BC1213" s="103"/>
      <c r="BD1213" s="103"/>
      <c r="BE1213" s="103"/>
    </row>
    <row r="1214" spans="1:57" x14ac:dyDescent="0.25">
      <c r="A1214" s="10" t="s">
        <v>8</v>
      </c>
      <c r="B1214" s="155">
        <v>2512</v>
      </c>
      <c r="C1214" s="10" t="s">
        <v>794</v>
      </c>
      <c r="D1214" s="10" t="s">
        <v>794</v>
      </c>
      <c r="E1214" s="193">
        <v>60.174399999999999</v>
      </c>
      <c r="F1214" s="193">
        <v>18.824999999999999</v>
      </c>
      <c r="G1214" s="30"/>
      <c r="H1214" s="10" t="s">
        <v>150</v>
      </c>
      <c r="I1214" s="10" t="s">
        <v>8</v>
      </c>
      <c r="J1214" s="24" t="s">
        <v>8</v>
      </c>
      <c r="K1214" s="10" t="s">
        <v>6</v>
      </c>
      <c r="L1214" s="24" t="s">
        <v>2030</v>
      </c>
      <c r="M1214" s="24" t="s">
        <v>717</v>
      </c>
      <c r="N1214" s="22" t="s">
        <v>1290</v>
      </c>
      <c r="O1214" s="22"/>
      <c r="P1214" s="22"/>
      <c r="Q1214" s="20" t="s">
        <v>1677</v>
      </c>
      <c r="S1214" s="20"/>
      <c r="T1214" s="20"/>
      <c r="U1214" s="22">
        <v>4</v>
      </c>
      <c r="V1214" s="20" t="s">
        <v>160</v>
      </c>
      <c r="W1214" s="20"/>
      <c r="X1214" s="20"/>
      <c r="Y1214" s="20"/>
      <c r="Z1214" s="20"/>
      <c r="AA1214" s="20"/>
      <c r="AB1214" s="20"/>
      <c r="AC1214" s="20"/>
      <c r="AD1214" s="20"/>
      <c r="AE1214" s="20"/>
      <c r="AF1214" s="20"/>
      <c r="AG1214" s="20"/>
      <c r="AH1214" s="20"/>
      <c r="AI1214" s="20"/>
      <c r="AJ1214" s="20"/>
      <c r="AK1214" s="20"/>
      <c r="AL1214" s="20"/>
      <c r="AM1214" s="20"/>
      <c r="AN1214" s="20"/>
      <c r="AO1214" s="20"/>
      <c r="AP1214" s="20"/>
      <c r="AQ1214" s="20"/>
      <c r="AR1214" s="20"/>
      <c r="AS1214" s="20"/>
      <c r="AT1214" s="20"/>
      <c r="AU1214" s="20"/>
      <c r="AV1214" s="20"/>
      <c r="AW1214" s="20"/>
      <c r="AX1214" s="20"/>
      <c r="AY1214" s="20"/>
      <c r="AZ1214" s="20"/>
      <c r="BA1214" s="20"/>
      <c r="BB1214" s="20"/>
      <c r="BC1214" s="20"/>
      <c r="BD1214" s="20"/>
      <c r="BE1214" s="20"/>
    </row>
    <row r="1215" spans="1:57" s="94" customFormat="1" x14ac:dyDescent="0.25">
      <c r="A1215" s="9" t="s">
        <v>707</v>
      </c>
      <c r="B1215" s="39" t="s">
        <v>608</v>
      </c>
      <c r="C1215" s="39" t="s">
        <v>2302</v>
      </c>
      <c r="D1215" s="40" t="s">
        <v>609</v>
      </c>
      <c r="E1215" s="46" t="s">
        <v>2170</v>
      </c>
      <c r="F1215" s="46" t="s">
        <v>2171</v>
      </c>
      <c r="G1215" s="40"/>
      <c r="H1215" s="9" t="s">
        <v>150</v>
      </c>
      <c r="I1215" s="41" t="s">
        <v>169</v>
      </c>
      <c r="J1215" s="41" t="s">
        <v>169</v>
      </c>
      <c r="K1215" s="40" t="s">
        <v>5</v>
      </c>
      <c r="L1215" s="41" t="s">
        <v>2043</v>
      </c>
      <c r="M1215" s="7" t="s">
        <v>2653</v>
      </c>
      <c r="N1215" s="19"/>
      <c r="O1215" s="19"/>
      <c r="P1215" s="19" t="s">
        <v>160</v>
      </c>
      <c r="Q1215" s="19"/>
      <c r="R1215" s="19"/>
      <c r="S1215" s="19"/>
      <c r="T1215" s="19"/>
      <c r="U1215" s="19"/>
      <c r="V1215" s="42"/>
      <c r="W1215" s="42"/>
      <c r="X1215" s="42"/>
      <c r="Y1215" s="42"/>
      <c r="Z1215" s="42"/>
      <c r="AA1215" s="42"/>
      <c r="AB1215" s="42"/>
      <c r="AC1215" s="42"/>
      <c r="AD1215" s="42"/>
      <c r="AE1215" s="42"/>
      <c r="AF1215" s="42"/>
      <c r="AG1215" s="42"/>
      <c r="AH1215" s="42"/>
      <c r="AI1215" s="42"/>
      <c r="AJ1215" s="42"/>
      <c r="AK1215" s="42"/>
      <c r="AL1215" s="42"/>
      <c r="AM1215" s="42"/>
      <c r="AN1215" s="42"/>
      <c r="AO1215" s="42"/>
      <c r="AP1215" s="42"/>
      <c r="AQ1215" s="42"/>
      <c r="AR1215" s="42" t="s">
        <v>160</v>
      </c>
      <c r="AS1215" s="42" t="s">
        <v>160</v>
      </c>
      <c r="AT1215" s="19" t="s">
        <v>160</v>
      </c>
      <c r="AU1215" s="19"/>
      <c r="AV1215" s="19"/>
      <c r="AW1215" s="19"/>
      <c r="AX1215" s="19"/>
      <c r="AY1215" s="19"/>
      <c r="AZ1215" s="42"/>
      <c r="BA1215" s="42"/>
      <c r="BB1215" s="42"/>
      <c r="BC1215" s="42"/>
      <c r="BD1215" s="42"/>
      <c r="BE1215" s="42"/>
    </row>
    <row r="1216" spans="1:57" x14ac:dyDescent="0.25">
      <c r="A1216" s="6" t="s">
        <v>8</v>
      </c>
      <c r="B1216" s="23" t="s">
        <v>2996</v>
      </c>
      <c r="C1216" s="39" t="s">
        <v>2302</v>
      </c>
      <c r="D1216" t="s">
        <v>120</v>
      </c>
      <c r="E1216" s="52">
        <f>60+10/60+27.9588/3600</f>
        <v>60.174433000000001</v>
      </c>
      <c r="F1216" s="52">
        <f>18+49/60+29.64/3600</f>
        <v>18.8249</v>
      </c>
      <c r="G1216" s="5"/>
      <c r="H1216" s="9" t="s">
        <v>150</v>
      </c>
      <c r="I1216" s="24" t="s">
        <v>169</v>
      </c>
      <c r="J1216" s="24" t="s">
        <v>169</v>
      </c>
      <c r="K1216" s="24" t="s">
        <v>5</v>
      </c>
      <c r="L1216" s="24" t="s">
        <v>2043</v>
      </c>
      <c r="M1216" s="7" t="s">
        <v>2653</v>
      </c>
      <c r="P1216" s="19" t="s">
        <v>160</v>
      </c>
      <c r="AR1216" s="19" t="s">
        <v>160</v>
      </c>
      <c r="AS1216" s="19" t="s">
        <v>160</v>
      </c>
      <c r="AT1216" s="19" t="s">
        <v>160</v>
      </c>
      <c r="BB1216" s="19"/>
      <c r="BC1216" s="19"/>
      <c r="BD1216" s="19"/>
      <c r="BE1216" s="19"/>
    </row>
    <row r="1217" spans="1:57" x14ac:dyDescent="0.25">
      <c r="A1217" s="6" t="s">
        <v>8</v>
      </c>
      <c r="B1217" s="23">
        <v>35126</v>
      </c>
      <c r="C1217" s="39" t="s">
        <v>2302</v>
      </c>
      <c r="D1217" s="24" t="s">
        <v>794</v>
      </c>
      <c r="E1217" s="5">
        <v>60.174433000000001</v>
      </c>
      <c r="F1217" s="5">
        <v>18.8249</v>
      </c>
      <c r="G1217" s="5"/>
      <c r="H1217" s="9" t="s">
        <v>150</v>
      </c>
      <c r="I1217" s="24" t="s">
        <v>169</v>
      </c>
      <c r="J1217" s="24" t="s">
        <v>169</v>
      </c>
      <c r="K1217" s="24" t="s">
        <v>5</v>
      </c>
      <c r="L1217" s="24" t="s">
        <v>2043</v>
      </c>
      <c r="M1217" s="7" t="s">
        <v>2653</v>
      </c>
      <c r="P1217" s="19" t="s">
        <v>160</v>
      </c>
      <c r="AR1217" s="19" t="s">
        <v>160</v>
      </c>
      <c r="AS1217" s="19" t="s">
        <v>160</v>
      </c>
      <c r="AT1217" s="19" t="s">
        <v>160</v>
      </c>
      <c r="BB1217" s="19"/>
      <c r="BC1217" s="19"/>
      <c r="BD1217" s="19"/>
      <c r="BE1217" s="19"/>
    </row>
    <row r="1218" spans="1:57" x14ac:dyDescent="0.25">
      <c r="A1218" s="9" t="s">
        <v>706</v>
      </c>
      <c r="B1218" s="38">
        <v>87</v>
      </c>
      <c r="C1218" s="39" t="s">
        <v>2302</v>
      </c>
      <c r="D1218" s="62" t="s">
        <v>120</v>
      </c>
      <c r="E1218" s="3">
        <f>60+10/60+28/3600</f>
        <v>60.17444444444444</v>
      </c>
      <c r="F1218" s="3">
        <f>18+49/60+30/3600</f>
        <v>18.824999999999999</v>
      </c>
      <c r="G1218" s="5"/>
      <c r="H1218" s="9" t="s">
        <v>150</v>
      </c>
      <c r="I1218" s="7" t="s">
        <v>169</v>
      </c>
      <c r="J1218" s="7" t="s">
        <v>169</v>
      </c>
      <c r="K1218" s="9" t="s">
        <v>5</v>
      </c>
      <c r="L1218" s="7" t="s">
        <v>2043</v>
      </c>
      <c r="M1218" s="7" t="s">
        <v>2653</v>
      </c>
      <c r="AR1218" s="19" t="s">
        <v>160</v>
      </c>
      <c r="AS1218" s="19" t="s">
        <v>160</v>
      </c>
      <c r="AT1218" s="19" t="s">
        <v>160</v>
      </c>
      <c r="BB1218" s="19"/>
      <c r="BC1218" s="19"/>
      <c r="BD1218" s="19"/>
      <c r="BE1218" s="19"/>
    </row>
    <row r="1219" spans="1:57" x14ac:dyDescent="0.25">
      <c r="A1219" s="9" t="s">
        <v>8</v>
      </c>
      <c r="B1219" s="27">
        <v>37134</v>
      </c>
      <c r="C1219" s="28" t="s">
        <v>2008</v>
      </c>
      <c r="D1219" s="28" t="s">
        <v>794</v>
      </c>
      <c r="E1219" s="25">
        <v>60.183300000000003</v>
      </c>
      <c r="F1219" s="25">
        <v>18.833300000000001</v>
      </c>
      <c r="H1219" s="9" t="s">
        <v>150</v>
      </c>
      <c r="I1219" s="9" t="s">
        <v>8</v>
      </c>
      <c r="J1219" s="7" t="s">
        <v>8</v>
      </c>
      <c r="K1219" s="6" t="s">
        <v>2455</v>
      </c>
      <c r="L1219" s="7" t="s">
        <v>2027</v>
      </c>
      <c r="M1219" s="28" t="s">
        <v>717</v>
      </c>
      <c r="N1219" s="19" t="s">
        <v>1812</v>
      </c>
      <c r="O1219" s="22"/>
      <c r="T1219" s="7"/>
      <c r="X1219" s="19" t="s">
        <v>160</v>
      </c>
      <c r="BA1219" s="7"/>
      <c r="BB1219" s="7"/>
      <c r="BC1219" s="7"/>
      <c r="BD1219" s="7"/>
      <c r="BE1219" s="7"/>
    </row>
    <row r="1220" spans="1:57" x14ac:dyDescent="0.25">
      <c r="A1220" s="9" t="s">
        <v>8</v>
      </c>
      <c r="B1220" s="26">
        <v>35004</v>
      </c>
      <c r="C1220" s="24" t="s">
        <v>1033</v>
      </c>
      <c r="D1220" t="s">
        <v>1034</v>
      </c>
      <c r="E1220" s="25">
        <f>59+35/60</f>
        <v>59.583333333333336</v>
      </c>
      <c r="F1220" s="25">
        <f>19+47/60</f>
        <v>19.783333333333335</v>
      </c>
      <c r="G1220" s="9"/>
      <c r="H1220" s="9" t="s">
        <v>150</v>
      </c>
      <c r="I1220" s="9" t="s">
        <v>8</v>
      </c>
      <c r="J1220" s="7" t="s">
        <v>8</v>
      </c>
      <c r="K1220" s="10" t="s">
        <v>953</v>
      </c>
      <c r="L1220" s="7" t="s">
        <v>2685</v>
      </c>
      <c r="M1220" s="7" t="s">
        <v>717</v>
      </c>
      <c r="N1220" s="42" t="s">
        <v>1345</v>
      </c>
      <c r="O1220" s="22"/>
      <c r="P1220" s="42"/>
      <c r="S1220" s="19" t="s">
        <v>160</v>
      </c>
      <c r="T1220" s="19" t="s">
        <v>160</v>
      </c>
      <c r="U1220" s="42"/>
      <c r="X1220" s="19" t="s">
        <v>160</v>
      </c>
      <c r="Z1220" s="19" t="s">
        <v>160</v>
      </c>
      <c r="AL1220" s="19" t="s">
        <v>160</v>
      </c>
      <c r="AR1220" s="19" t="s">
        <v>160</v>
      </c>
      <c r="AT1220" s="19" t="s">
        <v>160</v>
      </c>
      <c r="BB1220" s="19"/>
      <c r="BC1220" s="19"/>
      <c r="BD1220" s="19"/>
      <c r="BE1220" s="19"/>
    </row>
    <row r="1221" spans="1:57" s="94" customFormat="1" x14ac:dyDescent="0.25">
      <c r="A1221" s="102" t="s">
        <v>2773</v>
      </c>
      <c r="B1221" s="139">
        <v>2322</v>
      </c>
      <c r="C1221" s="102" t="s">
        <v>2294</v>
      </c>
      <c r="D1221" s="102" t="s">
        <v>1216</v>
      </c>
      <c r="E1221" s="189">
        <f>59+34/60+48/3600</f>
        <v>59.580000000000005</v>
      </c>
      <c r="F1221" s="189">
        <f>19+46/60+48/3600</f>
        <v>19.779999999999998</v>
      </c>
      <c r="G1221" s="84"/>
      <c r="H1221" s="102" t="s">
        <v>150</v>
      </c>
      <c r="I1221" s="102" t="s">
        <v>8</v>
      </c>
      <c r="J1221" s="102" t="s">
        <v>8</v>
      </c>
      <c r="K1221" s="102" t="s">
        <v>6</v>
      </c>
      <c r="L1221" s="102" t="s">
        <v>2030</v>
      </c>
      <c r="M1221" s="102" t="s">
        <v>717</v>
      </c>
      <c r="N1221" s="104" t="s">
        <v>1291</v>
      </c>
      <c r="O1221" s="104"/>
      <c r="P1221" s="104" t="s">
        <v>160</v>
      </c>
      <c r="Q1221" s="103" t="s">
        <v>1678</v>
      </c>
      <c r="R1221" s="108"/>
      <c r="S1221" s="103"/>
      <c r="T1221" s="103"/>
      <c r="U1221" s="104">
        <v>4</v>
      </c>
      <c r="V1221" s="103" t="s">
        <v>160</v>
      </c>
      <c r="W1221" s="103"/>
      <c r="X1221" s="103"/>
      <c r="Y1221" s="103"/>
      <c r="Z1221" s="103"/>
      <c r="AA1221" s="103"/>
      <c r="AB1221" s="103"/>
      <c r="AC1221" s="103"/>
      <c r="AD1221" s="103"/>
      <c r="AE1221" s="103"/>
      <c r="AF1221" s="103"/>
      <c r="AG1221" s="103"/>
      <c r="AH1221" s="103"/>
      <c r="AI1221" s="103"/>
      <c r="AJ1221" s="103"/>
      <c r="AK1221" s="103"/>
      <c r="AL1221" s="103"/>
      <c r="AM1221" s="103"/>
      <c r="AN1221" s="103"/>
      <c r="AO1221" s="103"/>
      <c r="AP1221" s="103"/>
      <c r="AQ1221" s="103"/>
      <c r="AR1221" s="103"/>
      <c r="AS1221" s="103"/>
      <c r="AT1221" s="103"/>
      <c r="AU1221" s="103"/>
      <c r="AV1221" s="103"/>
      <c r="AW1221" s="103"/>
      <c r="AX1221" s="103"/>
      <c r="AY1221" s="103"/>
      <c r="AZ1221" s="103"/>
      <c r="BA1221" s="103"/>
      <c r="BB1221" s="103"/>
      <c r="BC1221" s="103"/>
      <c r="BD1221" s="103"/>
      <c r="BE1221" s="103"/>
    </row>
    <row r="1222" spans="1:57" x14ac:dyDescent="0.25">
      <c r="A1222" s="24" t="s">
        <v>8</v>
      </c>
      <c r="B1222" s="142">
        <v>2322</v>
      </c>
      <c r="C1222" s="24" t="s">
        <v>2294</v>
      </c>
      <c r="D1222" s="24" t="s">
        <v>1216</v>
      </c>
      <c r="E1222" s="195">
        <v>59.58</v>
      </c>
      <c r="F1222" s="195">
        <v>19.78</v>
      </c>
      <c r="G1222" s="25"/>
      <c r="H1222" s="24" t="s">
        <v>150</v>
      </c>
      <c r="I1222" s="24" t="s">
        <v>8</v>
      </c>
      <c r="J1222" s="24" t="s">
        <v>8</v>
      </c>
      <c r="K1222" s="24" t="s">
        <v>6</v>
      </c>
      <c r="L1222" s="24" t="s">
        <v>2030</v>
      </c>
      <c r="M1222" s="24" t="s">
        <v>717</v>
      </c>
      <c r="N1222" s="22" t="s">
        <v>1291</v>
      </c>
      <c r="O1222" s="22"/>
      <c r="P1222" s="22" t="s">
        <v>160</v>
      </c>
      <c r="Q1222" s="20" t="s">
        <v>1678</v>
      </c>
      <c r="S1222" s="20"/>
      <c r="T1222" s="20"/>
      <c r="U1222" s="22">
        <v>4</v>
      </c>
      <c r="V1222" s="20" t="s">
        <v>160</v>
      </c>
      <c r="W1222" s="20"/>
      <c r="X1222" s="20"/>
      <c r="Y1222" s="20"/>
      <c r="Z1222" s="20"/>
      <c r="AA1222" s="20"/>
      <c r="AB1222" s="20"/>
      <c r="AC1222" s="20"/>
      <c r="AD1222" s="20"/>
      <c r="AE1222" s="20"/>
      <c r="AF1222" s="20"/>
      <c r="AG1222" s="20"/>
      <c r="AH1222" s="20"/>
      <c r="AI1222" s="20"/>
      <c r="AJ1222" s="20"/>
      <c r="AK1222" s="20"/>
      <c r="AL1222" s="20"/>
      <c r="AM1222" s="20"/>
      <c r="AN1222" s="20"/>
      <c r="AO1222" s="20"/>
      <c r="AP1222" s="20"/>
      <c r="AQ1222" s="20"/>
      <c r="AR1222" s="20"/>
      <c r="AS1222" s="20"/>
      <c r="AT1222" s="20"/>
      <c r="AU1222" s="20"/>
      <c r="AV1222" s="20"/>
      <c r="AW1222" s="20"/>
      <c r="AX1222" s="20"/>
      <c r="AY1222" s="20"/>
      <c r="AZ1222" s="20"/>
      <c r="BA1222" s="20"/>
      <c r="BB1222" s="20"/>
      <c r="BC1222" s="20"/>
      <c r="BD1222" s="20"/>
      <c r="BE1222" s="20"/>
    </row>
    <row r="1223" spans="1:57" x14ac:dyDescent="0.25">
      <c r="A1223" s="9" t="s">
        <v>8</v>
      </c>
      <c r="B1223" s="26">
        <v>35054</v>
      </c>
      <c r="C1223" s="24" t="s">
        <v>1071</v>
      </c>
      <c r="D1223" s="24" t="s">
        <v>1216</v>
      </c>
      <c r="E1223" s="25">
        <f>59+28/60</f>
        <v>59.466666666666669</v>
      </c>
      <c r="F1223" s="25">
        <f>20+21/60</f>
        <v>20.350000000000001</v>
      </c>
      <c r="G1223" s="9"/>
      <c r="H1223" s="9" t="s">
        <v>150</v>
      </c>
      <c r="I1223" s="9" t="s">
        <v>8</v>
      </c>
      <c r="J1223" s="7" t="s">
        <v>8</v>
      </c>
      <c r="K1223" s="10" t="s">
        <v>951</v>
      </c>
      <c r="L1223" s="7" t="s">
        <v>2049</v>
      </c>
      <c r="M1223" s="7" t="s">
        <v>717</v>
      </c>
      <c r="N1223" s="42" t="s">
        <v>1356</v>
      </c>
      <c r="O1223" s="22"/>
      <c r="P1223" s="42" t="s">
        <v>160</v>
      </c>
      <c r="S1223" s="42" t="s">
        <v>160</v>
      </c>
      <c r="T1223" s="19" t="s">
        <v>160</v>
      </c>
      <c r="U1223" s="42"/>
      <c r="AN1223" s="19" t="s">
        <v>160</v>
      </c>
      <c r="BB1223" s="19"/>
      <c r="BC1223" s="19"/>
      <c r="BD1223" s="19"/>
      <c r="BE1223" s="19"/>
    </row>
    <row r="1224" spans="1:57" x14ac:dyDescent="0.25">
      <c r="A1224" s="7" t="s">
        <v>8</v>
      </c>
      <c r="B1224" s="63">
        <v>37219</v>
      </c>
      <c r="C1224" s="28" t="s">
        <v>2009</v>
      </c>
      <c r="D1224" s="28" t="s">
        <v>1216</v>
      </c>
      <c r="E1224" s="25">
        <v>59.566699999999997</v>
      </c>
      <c r="F1224" s="25">
        <v>20.083300000000001</v>
      </c>
      <c r="G1224" s="5"/>
      <c r="H1224" s="7" t="s">
        <v>150</v>
      </c>
      <c r="I1224" s="7" t="s">
        <v>8</v>
      </c>
      <c r="J1224" s="7" t="s">
        <v>8</v>
      </c>
      <c r="K1224" s="21" t="s">
        <v>2455</v>
      </c>
      <c r="L1224" s="7" t="s">
        <v>2027</v>
      </c>
      <c r="M1224" s="28" t="s">
        <v>717</v>
      </c>
      <c r="N1224" s="19" t="s">
        <v>1844</v>
      </c>
      <c r="O1224" s="22"/>
      <c r="T1224" s="7"/>
      <c r="X1224" s="19" t="s">
        <v>160</v>
      </c>
      <c r="BA1224" s="7"/>
      <c r="BB1224" s="7"/>
      <c r="BC1224" s="7"/>
      <c r="BD1224" s="7"/>
      <c r="BE1224" s="7"/>
    </row>
    <row r="1225" spans="1:57" x14ac:dyDescent="0.25">
      <c r="A1225" s="6" t="s">
        <v>8</v>
      </c>
      <c r="B1225" s="9">
        <v>99330</v>
      </c>
      <c r="C1225" s="9" t="s">
        <v>1533</v>
      </c>
      <c r="D1225" s="9" t="s">
        <v>1534</v>
      </c>
      <c r="E1225" s="3">
        <v>59.55</v>
      </c>
      <c r="F1225" s="3">
        <v>20.02</v>
      </c>
      <c r="G1225" s="9">
        <v>1</v>
      </c>
      <c r="H1225" s="9" t="s">
        <v>150</v>
      </c>
      <c r="I1225" s="6" t="s">
        <v>8</v>
      </c>
      <c r="J1225" s="21" t="s">
        <v>8</v>
      </c>
      <c r="K1225" s="3" t="s">
        <v>5</v>
      </c>
      <c r="L1225" s="5" t="s">
        <v>2680</v>
      </c>
      <c r="M1225" s="7" t="s">
        <v>717</v>
      </c>
      <c r="N1225" s="19" t="s">
        <v>2540</v>
      </c>
      <c r="O1225" s="22"/>
      <c r="P1225" s="19" t="s">
        <v>160</v>
      </c>
      <c r="AR1225" s="19" t="s">
        <v>160</v>
      </c>
      <c r="AT1225" s="19" t="s">
        <v>160</v>
      </c>
      <c r="AV1225" s="19" t="s">
        <v>160</v>
      </c>
      <c r="AX1225" s="19" t="s">
        <v>160</v>
      </c>
      <c r="AZ1225" s="19" t="s">
        <v>160</v>
      </c>
      <c r="BB1225" s="19"/>
      <c r="BC1225" s="19"/>
      <c r="BD1225" s="19"/>
      <c r="BE1225" s="19"/>
    </row>
    <row r="1226" spans="1:57" x14ac:dyDescent="0.25">
      <c r="A1226" s="9" t="s">
        <v>8</v>
      </c>
      <c r="B1226" s="27">
        <v>37201</v>
      </c>
      <c r="C1226" s="28" t="s">
        <v>2010</v>
      </c>
      <c r="D1226" s="28" t="s">
        <v>1535</v>
      </c>
      <c r="E1226" s="25">
        <v>59.433300000000003</v>
      </c>
      <c r="F1226" s="25">
        <v>19.5</v>
      </c>
      <c r="H1226" s="9" t="s">
        <v>150</v>
      </c>
      <c r="I1226" s="7" t="s">
        <v>8</v>
      </c>
      <c r="J1226" s="7" t="s">
        <v>8</v>
      </c>
      <c r="K1226" s="6" t="s">
        <v>2455</v>
      </c>
      <c r="L1226" s="7" t="s">
        <v>2027</v>
      </c>
      <c r="M1226" s="28" t="s">
        <v>2653</v>
      </c>
      <c r="N1226" s="19" t="s">
        <v>1131</v>
      </c>
      <c r="O1226" s="22"/>
      <c r="T1226" s="7"/>
      <c r="X1226" s="19" t="s">
        <v>160</v>
      </c>
      <c r="Y1226" s="19" t="s">
        <v>160</v>
      </c>
      <c r="BA1226" s="7"/>
      <c r="BB1226" s="7"/>
      <c r="BC1226" s="7"/>
      <c r="BD1226" s="7"/>
      <c r="BE1226" s="7"/>
    </row>
    <row r="1227" spans="1:57" x14ac:dyDescent="0.25">
      <c r="A1227" s="21" t="s">
        <v>8</v>
      </c>
      <c r="B1227" s="7">
        <v>99270</v>
      </c>
      <c r="C1227" s="7" t="s">
        <v>2632</v>
      </c>
      <c r="D1227" s="7" t="s">
        <v>1535</v>
      </c>
      <c r="E1227" s="5">
        <v>59.443899999999999</v>
      </c>
      <c r="F1227" s="5">
        <v>19.502800000000001</v>
      </c>
      <c r="G1227" s="7">
        <v>10.145</v>
      </c>
      <c r="H1227" s="7" t="s">
        <v>150</v>
      </c>
      <c r="I1227" s="21" t="s">
        <v>8</v>
      </c>
      <c r="J1227" s="21" t="s">
        <v>8</v>
      </c>
      <c r="K1227" s="5" t="s">
        <v>2615</v>
      </c>
      <c r="L1227" s="5" t="s">
        <v>2701</v>
      </c>
      <c r="M1227" s="7" t="s">
        <v>2653</v>
      </c>
      <c r="N1227" s="19" t="s">
        <v>2556</v>
      </c>
      <c r="O1227" s="22"/>
      <c r="P1227" s="19" t="s">
        <v>160</v>
      </c>
      <c r="X1227" s="19" t="s">
        <v>160</v>
      </c>
      <c r="Y1227" s="19" t="s">
        <v>160</v>
      </c>
      <c r="AR1227" s="19" t="s">
        <v>160</v>
      </c>
      <c r="AS1227" s="19" t="s">
        <v>160</v>
      </c>
      <c r="AT1227" s="19" t="s">
        <v>160</v>
      </c>
      <c r="AU1227" s="19" t="s">
        <v>160</v>
      </c>
      <c r="AV1227" s="19" t="s">
        <v>160</v>
      </c>
      <c r="AW1227" s="19" t="s">
        <v>160</v>
      </c>
      <c r="AX1227" s="19" t="s">
        <v>160</v>
      </c>
      <c r="AY1227" s="19" t="s">
        <v>160</v>
      </c>
      <c r="AZ1227" s="19" t="s">
        <v>160</v>
      </c>
      <c r="BA1227" s="19" t="s">
        <v>160</v>
      </c>
      <c r="BB1227" s="19"/>
      <c r="BC1227" s="19"/>
      <c r="BD1227" s="19"/>
      <c r="BE1227" s="19"/>
    </row>
    <row r="1228" spans="1:57" s="94" customFormat="1" x14ac:dyDescent="0.25">
      <c r="A1228" s="32" t="s">
        <v>707</v>
      </c>
      <c r="B1228" s="33"/>
      <c r="C1228" s="33" t="s">
        <v>1536</v>
      </c>
      <c r="D1228" s="33" t="s">
        <v>2724</v>
      </c>
      <c r="E1228" s="35"/>
      <c r="F1228" s="35"/>
      <c r="G1228" s="33"/>
      <c r="H1228" s="33" t="s">
        <v>150</v>
      </c>
      <c r="I1228" s="21" t="s">
        <v>8</v>
      </c>
      <c r="J1228" s="32" t="s">
        <v>8</v>
      </c>
      <c r="K1228" s="35" t="s">
        <v>5</v>
      </c>
      <c r="L1228" s="35" t="s">
        <v>2043</v>
      </c>
      <c r="M1228" s="33" t="s">
        <v>2653</v>
      </c>
      <c r="N1228" s="37" t="s">
        <v>1114</v>
      </c>
      <c r="O1228" s="67"/>
      <c r="P1228" s="37" t="s">
        <v>160</v>
      </c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37"/>
      <c r="AE1228" s="37"/>
      <c r="AF1228" s="37"/>
      <c r="AG1228" s="37"/>
      <c r="AH1228" s="37"/>
      <c r="AI1228" s="37"/>
      <c r="AJ1228" s="37"/>
      <c r="AK1228" s="37"/>
      <c r="AL1228" s="37"/>
      <c r="AM1228" s="37"/>
      <c r="AN1228" s="37"/>
      <c r="AO1228" s="37"/>
      <c r="AP1228" s="37"/>
      <c r="AQ1228" s="37"/>
      <c r="AR1228" s="37" t="s">
        <v>160</v>
      </c>
      <c r="AS1228" s="37" t="s">
        <v>160</v>
      </c>
      <c r="AT1228" s="37"/>
      <c r="AU1228" s="37"/>
      <c r="AV1228" s="37"/>
      <c r="AW1228" s="37"/>
      <c r="AX1228" s="37"/>
      <c r="AY1228" s="37"/>
      <c r="AZ1228" s="37"/>
      <c r="BA1228" s="37"/>
      <c r="BB1228" s="37"/>
      <c r="BC1228" s="37"/>
      <c r="BD1228" s="37"/>
      <c r="BE1228" s="37"/>
    </row>
    <row r="1229" spans="1:57" x14ac:dyDescent="0.25">
      <c r="A1229" s="122" t="s">
        <v>2773</v>
      </c>
      <c r="B1229" s="105" t="s">
        <v>2997</v>
      </c>
      <c r="C1229" s="105" t="s">
        <v>1536</v>
      </c>
      <c r="D1229" s="153" t="s">
        <v>1537</v>
      </c>
      <c r="E1229" s="93">
        <f>59+26/60+32.28/3600</f>
        <v>59.442299999999996</v>
      </c>
      <c r="F1229" s="93">
        <f>19+30/60+7.92/3600</f>
        <v>19.502199999999998</v>
      </c>
      <c r="G1229" s="105">
        <v>11.811</v>
      </c>
      <c r="H1229" s="105" t="s">
        <v>150</v>
      </c>
      <c r="I1229" s="122" t="s">
        <v>8</v>
      </c>
      <c r="J1229" s="122" t="s">
        <v>8</v>
      </c>
      <c r="K1229" s="93" t="s">
        <v>5</v>
      </c>
      <c r="L1229" s="93" t="s">
        <v>2680</v>
      </c>
      <c r="M1229" s="105" t="s">
        <v>2653</v>
      </c>
      <c r="N1229" s="108" t="s">
        <v>1114</v>
      </c>
      <c r="O1229" s="104"/>
      <c r="P1229" s="108" t="s">
        <v>160</v>
      </c>
      <c r="Q1229" s="108"/>
      <c r="R1229" s="108"/>
      <c r="S1229" s="108"/>
      <c r="T1229" s="108"/>
      <c r="U1229" s="108"/>
      <c r="V1229" s="108"/>
      <c r="W1229" s="108"/>
      <c r="X1229" s="108"/>
      <c r="Y1229" s="108"/>
      <c r="Z1229" s="108"/>
      <c r="AA1229" s="108"/>
      <c r="AB1229" s="108"/>
      <c r="AC1229" s="108"/>
      <c r="AD1229" s="108"/>
      <c r="AE1229" s="108"/>
      <c r="AF1229" s="108"/>
      <c r="AG1229" s="108"/>
      <c r="AH1229" s="108"/>
      <c r="AI1229" s="108"/>
      <c r="AJ1229" s="108"/>
      <c r="AK1229" s="108"/>
      <c r="AL1229" s="108"/>
      <c r="AM1229" s="108"/>
      <c r="AN1229" s="108"/>
      <c r="AO1229" s="108"/>
      <c r="AP1229" s="108"/>
      <c r="AQ1229" s="108"/>
      <c r="AR1229" s="108" t="s">
        <v>160</v>
      </c>
      <c r="AS1229" s="108" t="s">
        <v>160</v>
      </c>
      <c r="AT1229" s="108" t="s">
        <v>160</v>
      </c>
      <c r="AU1229" s="108" t="s">
        <v>160</v>
      </c>
      <c r="AV1229" s="108" t="s">
        <v>160</v>
      </c>
      <c r="AW1229" s="108" t="s">
        <v>160</v>
      </c>
      <c r="AX1229" s="108" t="s">
        <v>160</v>
      </c>
      <c r="AY1229" s="108" t="s">
        <v>160</v>
      </c>
      <c r="AZ1229" s="108" t="s">
        <v>160</v>
      </c>
      <c r="BA1229" s="108" t="s">
        <v>160</v>
      </c>
      <c r="BB1229" s="108"/>
      <c r="BC1229" s="108"/>
      <c r="BD1229" s="108"/>
      <c r="BE1229" s="108"/>
    </row>
    <row r="1230" spans="1:57" s="33" customFormat="1" x14ac:dyDescent="0.25">
      <c r="A1230" s="21" t="s">
        <v>8</v>
      </c>
      <c r="B1230" s="7">
        <v>99280</v>
      </c>
      <c r="C1230" s="7" t="s">
        <v>1536</v>
      </c>
      <c r="D1230" s="7" t="s">
        <v>1537</v>
      </c>
      <c r="E1230" s="5">
        <f>59+26/60+32.28/3600</f>
        <v>59.442299999999996</v>
      </c>
      <c r="F1230" s="5">
        <f>19+30/60+7.92/3600</f>
        <v>19.502199999999998</v>
      </c>
      <c r="G1230" s="7">
        <v>11.811</v>
      </c>
      <c r="H1230" s="7" t="s">
        <v>150</v>
      </c>
      <c r="I1230" s="21" t="s">
        <v>8</v>
      </c>
      <c r="J1230" s="21" t="s">
        <v>8</v>
      </c>
      <c r="K1230" s="5" t="s">
        <v>5</v>
      </c>
      <c r="L1230" s="5" t="s">
        <v>2680</v>
      </c>
      <c r="M1230" s="7" t="s">
        <v>2653</v>
      </c>
      <c r="N1230" s="19" t="s">
        <v>1114</v>
      </c>
      <c r="O1230" s="22"/>
      <c r="P1230" s="19" t="s">
        <v>160</v>
      </c>
      <c r="Q1230" s="19"/>
      <c r="R1230" s="19"/>
      <c r="S1230" s="19"/>
      <c r="T1230" s="19"/>
      <c r="U1230" s="19"/>
      <c r="V1230" s="19"/>
      <c r="W1230" s="19"/>
      <c r="X1230" s="19"/>
      <c r="Y1230" s="19"/>
      <c r="Z1230" s="19"/>
      <c r="AA1230" s="19"/>
      <c r="AB1230" s="19"/>
      <c r="AC1230" s="19"/>
      <c r="AD1230" s="19"/>
      <c r="AE1230" s="19"/>
      <c r="AF1230" s="19"/>
      <c r="AG1230" s="19"/>
      <c r="AH1230" s="19"/>
      <c r="AI1230" s="19"/>
      <c r="AJ1230" s="19"/>
      <c r="AK1230" s="19"/>
      <c r="AL1230" s="19"/>
      <c r="AM1230" s="19"/>
      <c r="AN1230" s="19"/>
      <c r="AO1230" s="19"/>
      <c r="AP1230" s="19"/>
      <c r="AQ1230" s="19"/>
      <c r="AR1230" s="19" t="s">
        <v>160</v>
      </c>
      <c r="AS1230" s="19" t="s">
        <v>160</v>
      </c>
      <c r="AT1230" s="19" t="s">
        <v>160</v>
      </c>
      <c r="AU1230" s="19" t="s">
        <v>160</v>
      </c>
      <c r="AV1230" s="19" t="s">
        <v>160</v>
      </c>
      <c r="AW1230" s="19" t="s">
        <v>160</v>
      </c>
      <c r="AX1230" s="19" t="s">
        <v>160</v>
      </c>
      <c r="AY1230" s="19" t="s">
        <v>160</v>
      </c>
      <c r="AZ1230" s="19" t="s">
        <v>160</v>
      </c>
      <c r="BA1230" s="19" t="s">
        <v>160</v>
      </c>
      <c r="BB1230" s="19"/>
      <c r="BC1230" s="19"/>
      <c r="BD1230" s="19"/>
      <c r="BE1230" s="19"/>
    </row>
    <row r="1231" spans="1:57" x14ac:dyDescent="0.25">
      <c r="A1231" s="21" t="s">
        <v>706</v>
      </c>
      <c r="B1231" s="7">
        <v>204</v>
      </c>
      <c r="C1231" s="7" t="s">
        <v>1536</v>
      </c>
      <c r="D1231" s="62" t="s">
        <v>2723</v>
      </c>
      <c r="E1231" s="5">
        <f>59+26/60+32/3600</f>
        <v>59.44222222222222</v>
      </c>
      <c r="F1231" s="5">
        <f>19+30/60+8/3600</f>
        <v>19.502222222222223</v>
      </c>
      <c r="G1231" s="7"/>
      <c r="H1231" s="7" t="s">
        <v>150</v>
      </c>
      <c r="I1231" s="21" t="s">
        <v>8</v>
      </c>
      <c r="J1231" s="21" t="s">
        <v>8</v>
      </c>
      <c r="K1231" s="5" t="s">
        <v>5</v>
      </c>
      <c r="L1231" s="5" t="s">
        <v>2043</v>
      </c>
      <c r="M1231" s="7" t="s">
        <v>2653</v>
      </c>
      <c r="N1231" s="19" t="s">
        <v>1114</v>
      </c>
      <c r="O1231" s="22"/>
      <c r="P1231" s="19" t="s">
        <v>160</v>
      </c>
      <c r="AR1231" s="19" t="s">
        <v>160</v>
      </c>
      <c r="AS1231" s="19" t="s">
        <v>160</v>
      </c>
      <c r="BB1231" s="19"/>
      <c r="BC1231" s="19"/>
      <c r="BD1231" s="19"/>
      <c r="BE1231" s="19"/>
    </row>
    <row r="1232" spans="1:57" x14ac:dyDescent="0.25">
      <c r="A1232" s="9" t="s">
        <v>8</v>
      </c>
      <c r="B1232" s="26">
        <v>35013</v>
      </c>
      <c r="C1232" s="24" t="s">
        <v>1049</v>
      </c>
      <c r="D1232" t="s">
        <v>1050</v>
      </c>
      <c r="E1232" s="25">
        <f>56+10/60</f>
        <v>56.166666666666664</v>
      </c>
      <c r="F1232" s="25">
        <f>12+31/60</f>
        <v>12.516666666666667</v>
      </c>
      <c r="G1232" s="9"/>
      <c r="H1232" s="9" t="s">
        <v>150</v>
      </c>
      <c r="I1232" s="9" t="s">
        <v>8</v>
      </c>
      <c r="J1232" s="7" t="s">
        <v>8</v>
      </c>
      <c r="K1232" s="10" t="s">
        <v>953</v>
      </c>
      <c r="L1232" s="7" t="s">
        <v>2685</v>
      </c>
      <c r="M1232" s="7" t="s">
        <v>717</v>
      </c>
      <c r="N1232" s="42" t="s">
        <v>1338</v>
      </c>
      <c r="O1232" s="22"/>
      <c r="P1232" s="42"/>
      <c r="S1232" s="19" t="s">
        <v>160</v>
      </c>
      <c r="T1232" s="19" t="s">
        <v>160</v>
      </c>
      <c r="U1232" s="42"/>
      <c r="X1232" s="19" t="s">
        <v>160</v>
      </c>
      <c r="Z1232" s="19" t="s">
        <v>160</v>
      </c>
      <c r="AL1232" s="19" t="s">
        <v>160</v>
      </c>
      <c r="AR1232" s="19" t="s">
        <v>160</v>
      </c>
      <c r="AT1232" s="19" t="s">
        <v>160</v>
      </c>
      <c r="BB1232" s="19"/>
      <c r="BC1232" s="19"/>
      <c r="BD1232" s="19"/>
      <c r="BE1232" s="19"/>
    </row>
    <row r="1233" spans="1:57" s="94" customFormat="1" x14ac:dyDescent="0.25">
      <c r="A1233" s="102" t="s">
        <v>2773</v>
      </c>
      <c r="B1233" s="139">
        <v>2114</v>
      </c>
      <c r="C1233" s="102" t="s">
        <v>1247</v>
      </c>
      <c r="D1233" s="102" t="s">
        <v>1247</v>
      </c>
      <c r="E1233" s="189">
        <f>59+6/60</f>
        <v>59.1</v>
      </c>
      <c r="F1233" s="189">
        <f>11+16/60+12/3600</f>
        <v>11.270000000000001</v>
      </c>
      <c r="G1233" s="84"/>
      <c r="H1233" s="102" t="s">
        <v>150</v>
      </c>
      <c r="I1233" s="102" t="s">
        <v>8</v>
      </c>
      <c r="J1233" s="102" t="s">
        <v>8</v>
      </c>
      <c r="K1233" s="102" t="s">
        <v>6</v>
      </c>
      <c r="L1233" s="102" t="s">
        <v>2030</v>
      </c>
      <c r="M1233" s="102" t="s">
        <v>717</v>
      </c>
      <c r="N1233" s="104" t="s">
        <v>1326</v>
      </c>
      <c r="O1233" s="104"/>
      <c r="P1233" s="104"/>
      <c r="Q1233" s="103" t="s">
        <v>1679</v>
      </c>
      <c r="R1233" s="103"/>
      <c r="S1233" s="103"/>
      <c r="T1233" s="103"/>
      <c r="U1233" s="104">
        <v>4</v>
      </c>
      <c r="V1233" s="103" t="s">
        <v>160</v>
      </c>
      <c r="W1233" s="103"/>
      <c r="X1233" s="103"/>
      <c r="Y1233" s="103"/>
      <c r="Z1233" s="103"/>
      <c r="AA1233" s="103"/>
      <c r="AB1233" s="103"/>
      <c r="AC1233" s="103"/>
      <c r="AD1233" s="103"/>
      <c r="AE1233" s="103"/>
      <c r="AF1233" s="103"/>
      <c r="AG1233" s="103"/>
      <c r="AH1233" s="103"/>
      <c r="AI1233" s="103"/>
      <c r="AJ1233" s="103"/>
      <c r="AK1233" s="103"/>
      <c r="AL1233" s="103"/>
      <c r="AM1233" s="103"/>
      <c r="AN1233" s="103"/>
      <c r="AO1233" s="103"/>
      <c r="AP1233" s="103"/>
      <c r="AQ1233" s="103"/>
      <c r="AR1233" s="103"/>
      <c r="AS1233" s="103"/>
      <c r="AT1233" s="103"/>
      <c r="AU1233" s="103"/>
      <c r="AV1233" s="103"/>
      <c r="AW1233" s="103"/>
      <c r="AX1233" s="103"/>
      <c r="AY1233" s="103"/>
      <c r="AZ1233" s="103"/>
      <c r="BA1233" s="103"/>
      <c r="BB1233" s="103"/>
      <c r="BC1233" s="103"/>
      <c r="BD1233" s="103"/>
      <c r="BE1233" s="103"/>
    </row>
    <row r="1234" spans="1:57" x14ac:dyDescent="0.25">
      <c r="A1234" s="24" t="s">
        <v>8</v>
      </c>
      <c r="B1234" s="142">
        <v>2114</v>
      </c>
      <c r="C1234" s="24" t="s">
        <v>1247</v>
      </c>
      <c r="D1234" s="24" t="s">
        <v>1247</v>
      </c>
      <c r="E1234" s="195">
        <v>59.1</v>
      </c>
      <c r="F1234" s="195">
        <v>11.27</v>
      </c>
      <c r="G1234" s="25"/>
      <c r="H1234" s="24" t="s">
        <v>150</v>
      </c>
      <c r="I1234" s="24" t="s">
        <v>8</v>
      </c>
      <c r="J1234" s="24" t="s">
        <v>8</v>
      </c>
      <c r="K1234" s="24" t="s">
        <v>6</v>
      </c>
      <c r="L1234" s="24" t="s">
        <v>2030</v>
      </c>
      <c r="M1234" s="24" t="s">
        <v>717</v>
      </c>
      <c r="N1234" s="22" t="s">
        <v>1326</v>
      </c>
      <c r="O1234" s="22"/>
      <c r="P1234" s="22"/>
      <c r="Q1234" s="20" t="s">
        <v>1679</v>
      </c>
      <c r="R1234" s="20"/>
      <c r="S1234" s="20"/>
      <c r="T1234" s="20"/>
      <c r="U1234" s="22">
        <v>4</v>
      </c>
      <c r="V1234" s="20" t="s">
        <v>160</v>
      </c>
      <c r="W1234" s="20"/>
      <c r="X1234" s="20"/>
      <c r="Y1234" s="20"/>
      <c r="Z1234" s="20"/>
      <c r="AA1234" s="20"/>
      <c r="AB1234" s="20"/>
      <c r="AC1234" s="20"/>
      <c r="AD1234" s="20"/>
      <c r="AE1234" s="20"/>
      <c r="AF1234" s="20"/>
      <c r="AG1234" s="20"/>
      <c r="AH1234" s="20"/>
      <c r="AI1234" s="20"/>
      <c r="AJ1234" s="20"/>
      <c r="AK1234" s="20"/>
      <c r="AL1234" s="20"/>
      <c r="AM1234" s="20"/>
      <c r="AN1234" s="20"/>
      <c r="AO1234" s="20"/>
      <c r="AP1234" s="20"/>
      <c r="AQ1234" s="20"/>
      <c r="AR1234" s="20"/>
      <c r="AS1234" s="20"/>
      <c r="AT1234" s="20"/>
      <c r="AU1234" s="20"/>
      <c r="AV1234" s="20"/>
      <c r="AW1234" s="20"/>
      <c r="AX1234" s="20"/>
      <c r="AY1234" s="20"/>
      <c r="AZ1234" s="20"/>
      <c r="BA1234" s="20"/>
      <c r="BB1234" s="20"/>
      <c r="BC1234" s="20"/>
      <c r="BD1234" s="20"/>
      <c r="BE1234" s="20"/>
    </row>
    <row r="1235" spans="1:57" x14ac:dyDescent="0.25">
      <c r="A1235" s="9" t="s">
        <v>8</v>
      </c>
      <c r="B1235" s="26">
        <v>35001</v>
      </c>
      <c r="C1235" s="24" t="s">
        <v>1027</v>
      </c>
      <c r="D1235" t="s">
        <v>1028</v>
      </c>
      <c r="E1235" s="25">
        <f>63+19/60</f>
        <v>63.31666666666667</v>
      </c>
      <c r="F1235" s="25">
        <f>20+10/60</f>
        <v>20.166666666666668</v>
      </c>
      <c r="G1235" s="9"/>
      <c r="H1235" s="9" t="s">
        <v>150</v>
      </c>
      <c r="I1235" s="9" t="s">
        <v>8</v>
      </c>
      <c r="J1235" s="7" t="s">
        <v>8</v>
      </c>
      <c r="K1235" s="10" t="s">
        <v>953</v>
      </c>
      <c r="L1235" s="7" t="s">
        <v>2685</v>
      </c>
      <c r="M1235" s="7" t="s">
        <v>717</v>
      </c>
      <c r="N1235" s="42" t="s">
        <v>1339</v>
      </c>
      <c r="O1235" s="22"/>
      <c r="P1235" s="42"/>
      <c r="S1235" s="19" t="s">
        <v>160</v>
      </c>
      <c r="T1235" s="19" t="s">
        <v>160</v>
      </c>
      <c r="U1235" s="42"/>
      <c r="X1235" s="19" t="s">
        <v>160</v>
      </c>
      <c r="Z1235" s="19" t="s">
        <v>160</v>
      </c>
      <c r="AL1235" s="19" t="s">
        <v>160</v>
      </c>
      <c r="AR1235" s="19" t="s">
        <v>160</v>
      </c>
      <c r="AT1235" s="19" t="s">
        <v>160</v>
      </c>
      <c r="BB1235" s="19"/>
      <c r="BC1235" s="19"/>
      <c r="BD1235" s="19"/>
      <c r="BE1235" s="19"/>
    </row>
    <row r="1236" spans="1:57" s="94" customFormat="1" x14ac:dyDescent="0.25">
      <c r="A1236" s="102" t="s">
        <v>2773</v>
      </c>
      <c r="B1236" s="139">
        <v>2058</v>
      </c>
      <c r="C1236" s="102" t="s">
        <v>2286</v>
      </c>
      <c r="D1236" s="102" t="s">
        <v>1027</v>
      </c>
      <c r="E1236" s="189">
        <f>63+20/60+24/3600</f>
        <v>63.34</v>
      </c>
      <c r="F1236" s="189">
        <f>20+10/60+12/3600</f>
        <v>20.170000000000002</v>
      </c>
      <c r="G1236" s="84"/>
      <c r="H1236" s="102" t="s">
        <v>150</v>
      </c>
      <c r="I1236" s="102" t="s">
        <v>8</v>
      </c>
      <c r="J1236" s="102" t="s">
        <v>8</v>
      </c>
      <c r="K1236" s="102" t="s">
        <v>6</v>
      </c>
      <c r="L1236" s="102" t="s">
        <v>2030</v>
      </c>
      <c r="M1236" s="102" t="s">
        <v>717</v>
      </c>
      <c r="N1236" s="104" t="s">
        <v>1282</v>
      </c>
      <c r="O1236" s="104"/>
      <c r="P1236" s="104"/>
      <c r="Q1236" s="103" t="s">
        <v>1680</v>
      </c>
      <c r="R1236" s="103"/>
      <c r="S1236" s="103"/>
      <c r="T1236" s="103"/>
      <c r="U1236" s="104">
        <v>4</v>
      </c>
      <c r="V1236" s="103" t="s">
        <v>160</v>
      </c>
      <c r="W1236" s="103"/>
      <c r="X1236" s="103"/>
      <c r="Y1236" s="103"/>
      <c r="Z1236" s="103"/>
      <c r="AA1236" s="103"/>
      <c r="AB1236" s="103"/>
      <c r="AC1236" s="103"/>
      <c r="AD1236" s="103"/>
      <c r="AE1236" s="103"/>
      <c r="AF1236" s="103"/>
      <c r="AG1236" s="103"/>
      <c r="AH1236" s="103"/>
      <c r="AI1236" s="103"/>
      <c r="AJ1236" s="103"/>
      <c r="AK1236" s="103"/>
      <c r="AL1236" s="103"/>
      <c r="AM1236" s="103"/>
      <c r="AN1236" s="103"/>
      <c r="AO1236" s="103"/>
      <c r="AP1236" s="103"/>
      <c r="AQ1236" s="103"/>
      <c r="AR1236" s="103"/>
      <c r="AS1236" s="103"/>
      <c r="AT1236" s="103"/>
      <c r="AU1236" s="103"/>
      <c r="AV1236" s="103"/>
      <c r="AW1236" s="103"/>
      <c r="AX1236" s="103"/>
      <c r="AY1236" s="103"/>
      <c r="AZ1236" s="103"/>
      <c r="BA1236" s="103"/>
      <c r="BB1236" s="103"/>
      <c r="BC1236" s="103"/>
      <c r="BD1236" s="103"/>
      <c r="BE1236" s="103"/>
    </row>
    <row r="1237" spans="1:57" x14ac:dyDescent="0.25">
      <c r="A1237" s="24" t="s">
        <v>8</v>
      </c>
      <c r="B1237" s="142">
        <v>2058</v>
      </c>
      <c r="C1237" s="24" t="s">
        <v>2286</v>
      </c>
      <c r="D1237" s="24" t="s">
        <v>1027</v>
      </c>
      <c r="E1237" s="193">
        <v>63.3369</v>
      </c>
      <c r="F1237" s="193">
        <v>20.173400000000001</v>
      </c>
      <c r="G1237" s="25"/>
      <c r="H1237" s="24" t="s">
        <v>150</v>
      </c>
      <c r="I1237" s="24" t="s">
        <v>8</v>
      </c>
      <c r="J1237" s="24" t="s">
        <v>8</v>
      </c>
      <c r="K1237" s="24" t="s">
        <v>6</v>
      </c>
      <c r="L1237" s="24" t="s">
        <v>2030</v>
      </c>
      <c r="M1237" s="24" t="s">
        <v>717</v>
      </c>
      <c r="N1237" s="22" t="s">
        <v>1282</v>
      </c>
      <c r="O1237" s="22"/>
      <c r="P1237" s="22"/>
      <c r="Q1237" s="20" t="s">
        <v>1680</v>
      </c>
      <c r="R1237" s="20"/>
      <c r="S1237" s="20"/>
      <c r="T1237" s="20"/>
      <c r="U1237" s="22">
        <v>4</v>
      </c>
      <c r="V1237" s="20" t="s">
        <v>160</v>
      </c>
      <c r="W1237" s="20"/>
      <c r="X1237" s="20"/>
      <c r="Y1237" s="20"/>
      <c r="Z1237" s="20"/>
      <c r="AA1237" s="20"/>
      <c r="AB1237" s="20"/>
      <c r="AC1237" s="20"/>
      <c r="AD1237" s="20"/>
      <c r="AE1237" s="20"/>
      <c r="AF1237" s="20"/>
      <c r="AG1237" s="20"/>
      <c r="AH1237" s="20"/>
      <c r="AI1237" s="20"/>
      <c r="AJ1237" s="20"/>
      <c r="AK1237" s="20"/>
      <c r="AL1237" s="20"/>
      <c r="AM1237" s="20"/>
      <c r="AN1237" s="20"/>
      <c r="AO1237" s="20"/>
      <c r="AP1237" s="20"/>
      <c r="AQ1237" s="20"/>
      <c r="AR1237" s="20"/>
      <c r="AS1237" s="20"/>
      <c r="AT1237" s="20"/>
      <c r="AU1237" s="20"/>
      <c r="AV1237" s="20"/>
      <c r="AW1237" s="20"/>
      <c r="AX1237" s="20"/>
      <c r="AY1237" s="20"/>
      <c r="AZ1237" s="20"/>
      <c r="BA1237" s="20"/>
      <c r="BB1237" s="20"/>
      <c r="BC1237" s="20"/>
      <c r="BD1237" s="20"/>
      <c r="BE1237" s="20"/>
    </row>
    <row r="1238" spans="1:57" x14ac:dyDescent="0.25">
      <c r="A1238" s="9" t="s">
        <v>8</v>
      </c>
      <c r="B1238" s="27">
        <v>37123</v>
      </c>
      <c r="C1238" s="28" t="s">
        <v>2011</v>
      </c>
      <c r="D1238" s="28" t="s">
        <v>1027</v>
      </c>
      <c r="E1238" s="25">
        <v>63.333300000000001</v>
      </c>
      <c r="F1238" s="25">
        <v>20.183299999999999</v>
      </c>
      <c r="H1238" s="9" t="s">
        <v>150</v>
      </c>
      <c r="I1238" s="9" t="s">
        <v>8</v>
      </c>
      <c r="J1238" s="7" t="s">
        <v>8</v>
      </c>
      <c r="K1238" s="6" t="s">
        <v>2455</v>
      </c>
      <c r="L1238" s="7" t="s">
        <v>2027</v>
      </c>
      <c r="M1238" s="28" t="s">
        <v>717</v>
      </c>
      <c r="N1238" s="19" t="s">
        <v>1817</v>
      </c>
      <c r="O1238" s="22"/>
      <c r="T1238" s="7"/>
      <c r="X1238" s="19" t="s">
        <v>160</v>
      </c>
      <c r="BA1238" s="7"/>
      <c r="BB1238" s="7"/>
      <c r="BC1238" s="7"/>
      <c r="BD1238" s="7"/>
      <c r="BE1238" s="7"/>
    </row>
    <row r="1239" spans="1:57" x14ac:dyDescent="0.25">
      <c r="A1239" s="21" t="s">
        <v>8</v>
      </c>
      <c r="B1239" s="7">
        <v>140200</v>
      </c>
      <c r="C1239" s="7" t="s">
        <v>1539</v>
      </c>
      <c r="D1239" s="7" t="s">
        <v>1540</v>
      </c>
      <c r="E1239" s="5">
        <v>63.380600000000001</v>
      </c>
      <c r="F1239" s="5">
        <v>20.099299999999999</v>
      </c>
      <c r="G1239" s="7">
        <v>24</v>
      </c>
      <c r="H1239" s="7" t="s">
        <v>150</v>
      </c>
      <c r="I1239" s="21" t="s">
        <v>8</v>
      </c>
      <c r="J1239" s="21" t="s">
        <v>8</v>
      </c>
      <c r="K1239" s="5" t="s">
        <v>5</v>
      </c>
      <c r="L1239" s="5" t="s">
        <v>2680</v>
      </c>
      <c r="M1239" s="7" t="s">
        <v>717</v>
      </c>
      <c r="N1239" s="19" t="s">
        <v>2541</v>
      </c>
      <c r="O1239" s="22"/>
      <c r="P1239" s="19" t="s">
        <v>160</v>
      </c>
      <c r="AR1239" s="19" t="s">
        <v>160</v>
      </c>
      <c r="AT1239" s="19" t="s">
        <v>160</v>
      </c>
      <c r="AV1239" s="19" t="s">
        <v>160</v>
      </c>
      <c r="AX1239" s="19" t="s">
        <v>160</v>
      </c>
      <c r="AZ1239" s="19" t="s">
        <v>160</v>
      </c>
      <c r="BB1239" s="19"/>
      <c r="BC1239" s="19"/>
      <c r="BD1239" s="19"/>
      <c r="BE1239" s="19"/>
    </row>
    <row r="1240" spans="1:57" s="94" customFormat="1" x14ac:dyDescent="0.25">
      <c r="A1240" s="9" t="s">
        <v>707</v>
      </c>
      <c r="B1240" s="39" t="s">
        <v>636</v>
      </c>
      <c r="C1240" s="39" t="s">
        <v>929</v>
      </c>
      <c r="D1240" s="40" t="s">
        <v>637</v>
      </c>
      <c r="E1240" s="46" t="s">
        <v>2202</v>
      </c>
      <c r="F1240" s="46" t="s">
        <v>2203</v>
      </c>
      <c r="G1240" s="40"/>
      <c r="H1240" s="9" t="s">
        <v>150</v>
      </c>
      <c r="I1240" s="41" t="s">
        <v>169</v>
      </c>
      <c r="J1240" s="41" t="s">
        <v>169</v>
      </c>
      <c r="K1240" s="40" t="s">
        <v>5</v>
      </c>
      <c r="L1240" s="41" t="s">
        <v>2056</v>
      </c>
      <c r="M1240" s="7" t="s">
        <v>2653</v>
      </c>
      <c r="N1240" s="19"/>
      <c r="O1240" s="19"/>
      <c r="P1240" s="19"/>
      <c r="Q1240" s="19"/>
      <c r="R1240" s="19"/>
      <c r="S1240" s="19"/>
      <c r="T1240" s="19"/>
      <c r="U1240" s="19"/>
      <c r="V1240" s="42"/>
      <c r="W1240" s="42"/>
      <c r="X1240" s="42"/>
      <c r="Y1240" s="42"/>
      <c r="Z1240" s="42"/>
      <c r="AA1240" s="42"/>
      <c r="AB1240" s="42"/>
      <c r="AC1240" s="42"/>
      <c r="AD1240" s="42"/>
      <c r="AE1240" s="42"/>
      <c r="AF1240" s="42"/>
      <c r="AG1240" s="42"/>
      <c r="AH1240" s="42"/>
      <c r="AI1240" s="42"/>
      <c r="AJ1240" s="42"/>
      <c r="AK1240" s="42"/>
      <c r="AL1240" s="42"/>
      <c r="AM1240" s="42"/>
      <c r="AN1240" s="42"/>
      <c r="AO1240" s="42"/>
      <c r="AP1240" s="42"/>
      <c r="AQ1240" s="42"/>
      <c r="AR1240" s="42" t="s">
        <v>160</v>
      </c>
      <c r="AS1240" s="42" t="s">
        <v>160</v>
      </c>
      <c r="AT1240" s="19"/>
      <c r="AU1240" s="19"/>
      <c r="AV1240" s="19"/>
      <c r="AW1240" s="19"/>
      <c r="AX1240" s="19"/>
      <c r="AY1240" s="19"/>
      <c r="AZ1240" s="42" t="s">
        <v>160</v>
      </c>
      <c r="BA1240" s="42" t="s">
        <v>160</v>
      </c>
      <c r="BB1240" s="42"/>
      <c r="BC1240" s="42"/>
      <c r="BD1240" s="42"/>
      <c r="BE1240" s="42"/>
    </row>
    <row r="1241" spans="1:57" x14ac:dyDescent="0.25">
      <c r="A1241" s="114" t="s">
        <v>2773</v>
      </c>
      <c r="B1241" s="110" t="s">
        <v>2998</v>
      </c>
      <c r="C1241" s="115" t="s">
        <v>929</v>
      </c>
      <c r="D1241" s="153" t="s">
        <v>792</v>
      </c>
      <c r="E1241" s="83">
        <f>58+17/60+54.06/3600</f>
        <v>58.298349999999999</v>
      </c>
      <c r="F1241" s="83">
        <f>11+19/60+38.82/3600</f>
        <v>11.327449999999999</v>
      </c>
      <c r="G1241" s="93"/>
      <c r="H1241" s="94" t="s">
        <v>150</v>
      </c>
      <c r="I1241" s="102" t="s">
        <v>169</v>
      </c>
      <c r="J1241" s="102" t="s">
        <v>169</v>
      </c>
      <c r="K1241" s="102" t="s">
        <v>5</v>
      </c>
      <c r="L1241" s="102" t="s">
        <v>2056</v>
      </c>
      <c r="M1241" s="105" t="s">
        <v>2653</v>
      </c>
      <c r="N1241" s="108"/>
      <c r="O1241" s="108"/>
      <c r="P1241" s="108"/>
      <c r="Q1241" s="108"/>
      <c r="R1241" s="108"/>
      <c r="S1241" s="108"/>
      <c r="T1241" s="108"/>
      <c r="U1241" s="108"/>
      <c r="V1241" s="108"/>
      <c r="W1241" s="108"/>
      <c r="X1241" s="108"/>
      <c r="Y1241" s="108"/>
      <c r="Z1241" s="108"/>
      <c r="AA1241" s="108"/>
      <c r="AB1241" s="108"/>
      <c r="AC1241" s="108"/>
      <c r="AD1241" s="108"/>
      <c r="AE1241" s="108"/>
      <c r="AF1241" s="108"/>
      <c r="AG1241" s="108"/>
      <c r="AH1241" s="108"/>
      <c r="AI1241" s="108"/>
      <c r="AJ1241" s="108"/>
      <c r="AK1241" s="108"/>
      <c r="AL1241" s="108"/>
      <c r="AM1241" s="108"/>
      <c r="AN1241" s="108"/>
      <c r="AO1241" s="108"/>
      <c r="AP1241" s="108"/>
      <c r="AQ1241" s="108"/>
      <c r="AR1241" s="108" t="s">
        <v>160</v>
      </c>
      <c r="AS1241" s="108" t="s">
        <v>160</v>
      </c>
      <c r="AT1241" s="108"/>
      <c r="AU1241" s="108"/>
      <c r="AV1241" s="108"/>
      <c r="AW1241" s="108"/>
      <c r="AX1241" s="108"/>
      <c r="AY1241" s="108"/>
      <c r="AZ1241" s="108" t="s">
        <v>160</v>
      </c>
      <c r="BA1241" s="108" t="s">
        <v>160</v>
      </c>
      <c r="BB1241" s="108"/>
      <c r="BC1241" s="108"/>
      <c r="BD1241" s="108"/>
      <c r="BE1241" s="108"/>
    </row>
    <row r="1242" spans="1:57" x14ac:dyDescent="0.25">
      <c r="A1242" s="6" t="s">
        <v>8</v>
      </c>
      <c r="B1242" s="23">
        <v>35208</v>
      </c>
      <c r="C1242" s="39" t="s">
        <v>929</v>
      </c>
      <c r="D1242" s="24" t="s">
        <v>792</v>
      </c>
      <c r="E1242" s="5">
        <v>58.298349999999999</v>
      </c>
      <c r="F1242" s="5">
        <v>11.327450000000001</v>
      </c>
      <c r="G1242" s="5"/>
      <c r="H1242" s="9" t="s">
        <v>150</v>
      </c>
      <c r="I1242" s="24" t="s">
        <v>169</v>
      </c>
      <c r="J1242" s="24" t="s">
        <v>169</v>
      </c>
      <c r="K1242" s="24" t="s">
        <v>5</v>
      </c>
      <c r="L1242" s="24" t="s">
        <v>2056</v>
      </c>
      <c r="M1242" s="7" t="s">
        <v>2653</v>
      </c>
      <c r="AR1242" s="19" t="s">
        <v>160</v>
      </c>
      <c r="AS1242" s="19" t="s">
        <v>160</v>
      </c>
      <c r="AZ1242" s="19" t="s">
        <v>160</v>
      </c>
      <c r="BA1242" s="19" t="s">
        <v>160</v>
      </c>
      <c r="BB1242" s="19"/>
      <c r="BC1242" s="19"/>
      <c r="BD1242" s="19"/>
      <c r="BE1242" s="19"/>
    </row>
    <row r="1243" spans="1:57" x14ac:dyDescent="0.25">
      <c r="A1243" s="9" t="s">
        <v>706</v>
      </c>
      <c r="B1243" s="38">
        <v>88</v>
      </c>
      <c r="C1243" s="39" t="s">
        <v>929</v>
      </c>
      <c r="D1243" s="62" t="s">
        <v>127</v>
      </c>
      <c r="E1243" s="3">
        <f>58+17/60+54/3600</f>
        <v>58.298333333333332</v>
      </c>
      <c r="F1243" s="3">
        <f>11+19/60+39/3600</f>
        <v>11.327500000000001</v>
      </c>
      <c r="G1243" s="5"/>
      <c r="H1243" s="9" t="s">
        <v>150</v>
      </c>
      <c r="I1243" s="7" t="s">
        <v>169</v>
      </c>
      <c r="J1243" s="7" t="s">
        <v>169</v>
      </c>
      <c r="K1243" s="9" t="s">
        <v>5</v>
      </c>
      <c r="L1243" s="7" t="s">
        <v>2056</v>
      </c>
      <c r="M1243" s="7" t="s">
        <v>2653</v>
      </c>
      <c r="AR1243" s="19" t="s">
        <v>160</v>
      </c>
      <c r="AS1243" s="19" t="s">
        <v>160</v>
      </c>
      <c r="AZ1243" s="19" t="s">
        <v>160</v>
      </c>
      <c r="BA1243" s="19" t="s">
        <v>160</v>
      </c>
      <c r="BB1243" s="19"/>
      <c r="BC1243" s="19"/>
      <c r="BD1243" s="19"/>
      <c r="BE1243" s="19"/>
    </row>
    <row r="1244" spans="1:57" x14ac:dyDescent="0.25">
      <c r="A1244" s="7" t="s">
        <v>8</v>
      </c>
      <c r="B1244" s="23">
        <v>33027</v>
      </c>
      <c r="C1244" s="24" t="s">
        <v>1001</v>
      </c>
      <c r="D1244" t="s">
        <v>1002</v>
      </c>
      <c r="E1244" s="25">
        <v>58.074666000000001</v>
      </c>
      <c r="F1244" s="25">
        <v>11.492499</v>
      </c>
      <c r="G1244" s="80"/>
      <c r="H1244" s="7" t="s">
        <v>150</v>
      </c>
      <c r="I1244" s="24" t="s">
        <v>8</v>
      </c>
      <c r="J1244" s="24" t="s">
        <v>8</v>
      </c>
      <c r="K1244" s="7" t="s">
        <v>951</v>
      </c>
      <c r="L1244" s="7" t="s">
        <v>2683</v>
      </c>
      <c r="M1244" s="7" t="s">
        <v>717</v>
      </c>
      <c r="N1244" s="42" t="s">
        <v>1576</v>
      </c>
      <c r="O1244" s="22"/>
      <c r="P1244" s="42" t="s">
        <v>160</v>
      </c>
      <c r="U1244" s="42"/>
      <c r="X1244" s="19" t="s">
        <v>160</v>
      </c>
      <c r="Z1244" s="19" t="s">
        <v>160</v>
      </c>
      <c r="AB1244" s="19" t="s">
        <v>160</v>
      </c>
      <c r="AD1244" s="19" t="s">
        <v>160</v>
      </c>
      <c r="AJ1244" s="19" t="s">
        <v>160</v>
      </c>
      <c r="AL1244" s="19" t="s">
        <v>160</v>
      </c>
      <c r="AT1244" s="19" t="s">
        <v>160</v>
      </c>
      <c r="AV1244" s="19" t="s">
        <v>160</v>
      </c>
      <c r="BB1244" s="19"/>
      <c r="BC1244" s="19"/>
      <c r="BD1244" s="19"/>
      <c r="BE1244" s="19"/>
    </row>
    <row r="1245" spans="1:57" x14ac:dyDescent="0.25">
      <c r="A1245" s="9" t="s">
        <v>707</v>
      </c>
      <c r="B1245" s="137" t="s">
        <v>638</v>
      </c>
      <c r="C1245" s="23" t="s">
        <v>958</v>
      </c>
      <c r="D1245" s="40" t="s">
        <v>639</v>
      </c>
      <c r="E1245" s="46" t="s">
        <v>641</v>
      </c>
      <c r="F1245" s="46" t="s">
        <v>640</v>
      </c>
      <c r="G1245" s="40"/>
      <c r="H1245" s="9" t="s">
        <v>150</v>
      </c>
      <c r="I1245" s="41" t="s">
        <v>169</v>
      </c>
      <c r="J1245" s="41" t="s">
        <v>169</v>
      </c>
      <c r="K1245" s="40" t="s">
        <v>6</v>
      </c>
      <c r="L1245" s="41" t="s">
        <v>2031</v>
      </c>
      <c r="M1245" s="7" t="s">
        <v>2653</v>
      </c>
      <c r="N1245" s="19" t="s">
        <v>1161</v>
      </c>
      <c r="O1245" s="42" t="s">
        <v>160</v>
      </c>
      <c r="P1245" s="42" t="s">
        <v>160</v>
      </c>
      <c r="Q1245" s="44" t="s">
        <v>1179</v>
      </c>
      <c r="S1245" s="19" t="s">
        <v>160</v>
      </c>
      <c r="T1245" s="19" t="s">
        <v>160</v>
      </c>
      <c r="U1245" s="19">
        <v>2</v>
      </c>
      <c r="V1245" s="42" t="s">
        <v>160</v>
      </c>
      <c r="W1245" s="42" t="s">
        <v>160</v>
      </c>
      <c r="X1245" s="42" t="s">
        <v>160</v>
      </c>
      <c r="Y1245" s="42" t="s">
        <v>160</v>
      </c>
      <c r="Z1245" s="42"/>
      <c r="AA1245" s="42"/>
      <c r="AB1245" s="42"/>
      <c r="AC1245" s="42"/>
      <c r="AD1245" s="42"/>
      <c r="AE1245" s="42"/>
      <c r="AF1245" s="42"/>
      <c r="AG1245" s="42"/>
      <c r="AH1245" s="42"/>
      <c r="AI1245" s="42"/>
      <c r="AJ1245" s="42"/>
      <c r="AK1245" s="42"/>
      <c r="AL1245" s="42"/>
      <c r="AM1245" s="42"/>
      <c r="AN1245" s="42"/>
      <c r="AO1245" s="42"/>
      <c r="AP1245" s="42"/>
      <c r="AQ1245" s="42"/>
      <c r="AR1245" s="42"/>
      <c r="AS1245" s="42"/>
      <c r="AZ1245" s="42"/>
      <c r="BA1245" s="42"/>
      <c r="BB1245" s="42"/>
      <c r="BC1245" s="42"/>
      <c r="BD1245" s="42"/>
      <c r="BE1245" s="42"/>
    </row>
    <row r="1246" spans="1:57" x14ac:dyDescent="0.25">
      <c r="A1246" s="53" t="s">
        <v>2763</v>
      </c>
      <c r="B1246" s="143">
        <v>35120</v>
      </c>
      <c r="C1246" s="85" t="s">
        <v>958</v>
      </c>
      <c r="D1246" s="85" t="s">
        <v>2748</v>
      </c>
      <c r="E1246" s="35">
        <v>57.682062999999999</v>
      </c>
      <c r="F1246" s="35">
        <v>11.872157</v>
      </c>
      <c r="G1246" s="85">
        <v>2.56</v>
      </c>
      <c r="H1246" s="7" t="s">
        <v>150</v>
      </c>
      <c r="I1246" s="14" t="s">
        <v>169</v>
      </c>
      <c r="J1246" s="85" t="s">
        <v>169</v>
      </c>
      <c r="K1246" s="24" t="s">
        <v>6</v>
      </c>
      <c r="L1246" s="24" t="s">
        <v>2031</v>
      </c>
      <c r="M1246" s="7" t="s">
        <v>2653</v>
      </c>
      <c r="N1246" s="19" t="s">
        <v>1161</v>
      </c>
      <c r="O1246" s="42" t="s">
        <v>160</v>
      </c>
      <c r="P1246" s="42" t="s">
        <v>160</v>
      </c>
      <c r="Q1246" s="44" t="s">
        <v>1179</v>
      </c>
      <c r="S1246" s="19" t="s">
        <v>160</v>
      </c>
      <c r="T1246" s="19" t="s">
        <v>160</v>
      </c>
      <c r="U1246" s="42">
        <v>2</v>
      </c>
      <c r="V1246" s="19" t="s">
        <v>160</v>
      </c>
      <c r="W1246" s="19" t="s">
        <v>160</v>
      </c>
      <c r="X1246" s="19" t="s">
        <v>160</v>
      </c>
      <c r="Y1246" s="19" t="s">
        <v>160</v>
      </c>
      <c r="Z1246" s="85"/>
      <c r="AA1246" s="85"/>
      <c r="AB1246" s="85"/>
      <c r="AC1246" s="85"/>
      <c r="AD1246" s="85"/>
      <c r="AE1246" s="85"/>
      <c r="AF1246" s="85"/>
      <c r="AG1246" s="85"/>
      <c r="AH1246" s="85"/>
      <c r="AI1246" s="85"/>
      <c r="AJ1246" s="85"/>
      <c r="AK1246" s="85"/>
      <c r="AL1246" s="85"/>
      <c r="AM1246" s="85"/>
      <c r="AN1246" s="85"/>
      <c r="AO1246" s="85"/>
      <c r="AP1246" s="85"/>
      <c r="AQ1246" s="85"/>
      <c r="AR1246" s="85"/>
      <c r="AS1246" s="85"/>
      <c r="AT1246" s="85"/>
      <c r="AU1246" s="85"/>
      <c r="AV1246" s="85"/>
      <c r="AW1246" s="85"/>
      <c r="AX1246" s="85"/>
      <c r="AY1246" s="85"/>
      <c r="AZ1246" s="85"/>
      <c r="BA1246" s="85"/>
      <c r="BB1246" s="85"/>
      <c r="BC1246" s="85"/>
      <c r="BD1246" s="85"/>
      <c r="BE1246" s="85"/>
    </row>
    <row r="1247" spans="1:57" s="94" customFormat="1" x14ac:dyDescent="0.25">
      <c r="A1247" s="114" t="s">
        <v>2773</v>
      </c>
      <c r="B1247" s="139" t="s">
        <v>2829</v>
      </c>
      <c r="C1247" s="110" t="s">
        <v>958</v>
      </c>
      <c r="D1247" s="153" t="s">
        <v>723</v>
      </c>
      <c r="E1247" s="82">
        <f>57+40/60+55.4304/3600</f>
        <v>57.682063999999997</v>
      </c>
      <c r="F1247" s="82">
        <f>11+52/60+19.7148/3600</f>
        <v>11.872143000000001</v>
      </c>
      <c r="G1247" s="178">
        <v>2.56</v>
      </c>
      <c r="H1247" s="105" t="s">
        <v>150</v>
      </c>
      <c r="I1247" s="102" t="s">
        <v>169</v>
      </c>
      <c r="J1247" s="102" t="s">
        <v>169</v>
      </c>
      <c r="K1247" s="102" t="s">
        <v>6</v>
      </c>
      <c r="L1247" s="102" t="s">
        <v>2031</v>
      </c>
      <c r="M1247" s="105" t="s">
        <v>2653</v>
      </c>
      <c r="N1247" s="108" t="s">
        <v>1161</v>
      </c>
      <c r="O1247" s="106" t="s">
        <v>160</v>
      </c>
      <c r="P1247" s="106" t="s">
        <v>160</v>
      </c>
      <c r="Q1247" s="107" t="s">
        <v>1179</v>
      </c>
      <c r="R1247" s="108"/>
      <c r="S1247" s="108" t="s">
        <v>160</v>
      </c>
      <c r="T1247" s="108" t="s">
        <v>160</v>
      </c>
      <c r="U1247" s="106">
        <v>2</v>
      </c>
      <c r="V1247" s="108" t="s">
        <v>160</v>
      </c>
      <c r="W1247" s="108" t="s">
        <v>160</v>
      </c>
      <c r="X1247" s="108" t="s">
        <v>160</v>
      </c>
      <c r="Y1247" s="108" t="s">
        <v>160</v>
      </c>
      <c r="Z1247" s="108"/>
      <c r="AA1247" s="108"/>
      <c r="AB1247" s="108"/>
      <c r="AC1247" s="108"/>
      <c r="AD1247" s="108"/>
      <c r="AE1247" s="108"/>
      <c r="AF1247" s="108"/>
      <c r="AG1247" s="108"/>
      <c r="AH1247" s="108"/>
      <c r="AI1247" s="108"/>
      <c r="AJ1247" s="108"/>
      <c r="AK1247" s="108"/>
      <c r="AL1247" s="108"/>
      <c r="AM1247" s="108"/>
      <c r="AN1247" s="108"/>
      <c r="AO1247" s="108"/>
      <c r="AP1247" s="108"/>
      <c r="AQ1247" s="108"/>
      <c r="AR1247" s="108"/>
      <c r="AS1247" s="108"/>
      <c r="AT1247" s="108"/>
      <c r="AU1247" s="108"/>
      <c r="AV1247" s="108"/>
      <c r="AW1247" s="108"/>
      <c r="AX1247" s="108"/>
      <c r="AY1247" s="108"/>
      <c r="AZ1247" s="108"/>
      <c r="BA1247" s="108"/>
      <c r="BB1247" s="108"/>
      <c r="BC1247" s="108"/>
      <c r="BD1247" s="108"/>
      <c r="BE1247" s="108"/>
    </row>
    <row r="1248" spans="1:57" x14ac:dyDescent="0.25">
      <c r="A1248" s="6" t="s">
        <v>8</v>
      </c>
      <c r="B1248" s="142" t="s">
        <v>2992</v>
      </c>
      <c r="C1248" s="23" t="s">
        <v>958</v>
      </c>
      <c r="D1248" s="24" t="s">
        <v>723</v>
      </c>
      <c r="E1248" s="193">
        <v>57.682099999999998</v>
      </c>
      <c r="F1248" s="193">
        <v>11.872199999999999</v>
      </c>
      <c r="G1248" s="43"/>
      <c r="H1248" s="7" t="s">
        <v>150</v>
      </c>
      <c r="I1248" s="24" t="s">
        <v>169</v>
      </c>
      <c r="J1248" s="24" t="s">
        <v>169</v>
      </c>
      <c r="K1248" s="24" t="s">
        <v>6</v>
      </c>
      <c r="L1248" s="24" t="s">
        <v>2031</v>
      </c>
      <c r="M1248" s="7" t="s">
        <v>2653</v>
      </c>
      <c r="N1248" s="19" t="s">
        <v>1161</v>
      </c>
      <c r="O1248" s="42" t="s">
        <v>160</v>
      </c>
      <c r="P1248" s="42" t="s">
        <v>160</v>
      </c>
      <c r="Q1248" s="44" t="s">
        <v>1179</v>
      </c>
      <c r="S1248" s="19" t="s">
        <v>160</v>
      </c>
      <c r="T1248" s="19" t="s">
        <v>160</v>
      </c>
      <c r="U1248" s="42">
        <v>2</v>
      </c>
      <c r="V1248" s="19" t="s">
        <v>160</v>
      </c>
      <c r="W1248" s="19" t="s">
        <v>160</v>
      </c>
      <c r="X1248" s="19" t="s">
        <v>160</v>
      </c>
      <c r="Y1248" s="19" t="s">
        <v>160</v>
      </c>
      <c r="BB1248" s="19"/>
      <c r="BC1248" s="19"/>
      <c r="BD1248" s="19"/>
      <c r="BE1248" s="19"/>
    </row>
    <row r="1249" spans="1:57" x14ac:dyDescent="0.25">
      <c r="A1249" s="9" t="s">
        <v>706</v>
      </c>
      <c r="B1249" s="140">
        <v>171</v>
      </c>
      <c r="C1249" s="23" t="s">
        <v>958</v>
      </c>
      <c r="D1249" s="62" t="s">
        <v>128</v>
      </c>
      <c r="E1249" s="5">
        <f>57+40/60+55/3600</f>
        <v>57.68194444444444</v>
      </c>
      <c r="F1249" s="5">
        <f>11+52/60+20/3600</f>
        <v>11.872222222222224</v>
      </c>
      <c r="G1249" s="43"/>
      <c r="H1249" s="9" t="s">
        <v>150</v>
      </c>
      <c r="I1249" s="7" t="s">
        <v>169</v>
      </c>
      <c r="J1249" s="7" t="s">
        <v>169</v>
      </c>
      <c r="K1249" s="9" t="s">
        <v>6</v>
      </c>
      <c r="L1249" s="7" t="s">
        <v>2031</v>
      </c>
      <c r="M1249" s="7" t="s">
        <v>2653</v>
      </c>
      <c r="N1249" s="19" t="s">
        <v>1161</v>
      </c>
      <c r="O1249" s="42" t="s">
        <v>160</v>
      </c>
      <c r="P1249" s="42" t="s">
        <v>160</v>
      </c>
      <c r="Q1249" s="44" t="s">
        <v>1179</v>
      </c>
      <c r="S1249" s="19" t="s">
        <v>160</v>
      </c>
      <c r="T1249" s="19" t="s">
        <v>160</v>
      </c>
      <c r="U1249" s="19">
        <v>2</v>
      </c>
      <c r="V1249" s="19" t="s">
        <v>160</v>
      </c>
      <c r="W1249" s="19" t="s">
        <v>160</v>
      </c>
      <c r="X1249" s="19" t="s">
        <v>160</v>
      </c>
      <c r="Y1249" s="19" t="s">
        <v>160</v>
      </c>
      <c r="BB1249" s="19"/>
      <c r="BC1249" s="19"/>
      <c r="BD1249" s="19"/>
      <c r="BE1249" s="19"/>
    </row>
    <row r="1250" spans="1:57" x14ac:dyDescent="0.25">
      <c r="A1250" s="7" t="s">
        <v>707</v>
      </c>
      <c r="B1250" s="45" t="s">
        <v>616</v>
      </c>
      <c r="C1250" s="45" t="s">
        <v>927</v>
      </c>
      <c r="D1250" s="41" t="s">
        <v>617</v>
      </c>
      <c r="E1250" s="46" t="s">
        <v>619</v>
      </c>
      <c r="F1250" s="46" t="s">
        <v>618</v>
      </c>
      <c r="G1250" s="41"/>
      <c r="H1250" s="7" t="s">
        <v>150</v>
      </c>
      <c r="I1250" s="41" t="s">
        <v>8</v>
      </c>
      <c r="J1250" s="41" t="s">
        <v>8</v>
      </c>
      <c r="K1250" s="41" t="s">
        <v>124</v>
      </c>
      <c r="L1250" s="41"/>
      <c r="M1250" s="7" t="s">
        <v>2653</v>
      </c>
      <c r="N1250" s="19" t="s">
        <v>1696</v>
      </c>
      <c r="O1250" s="22"/>
      <c r="P1250" s="19" t="s">
        <v>160</v>
      </c>
      <c r="S1250" s="19" t="s">
        <v>160</v>
      </c>
      <c r="T1250" s="19" t="s">
        <v>160</v>
      </c>
      <c r="V1250" s="42"/>
      <c r="W1250" s="42"/>
      <c r="X1250" s="42"/>
      <c r="Y1250" s="42"/>
      <c r="Z1250" s="42"/>
      <c r="AA1250" s="42"/>
      <c r="AB1250" s="42"/>
      <c r="AC1250" s="42"/>
      <c r="AD1250" s="42"/>
      <c r="AE1250" s="42"/>
      <c r="AF1250" s="42"/>
      <c r="AG1250" s="42"/>
      <c r="AH1250" s="42"/>
      <c r="AI1250" s="42"/>
      <c r="AJ1250" s="42"/>
      <c r="AK1250" s="42"/>
      <c r="AL1250" s="42"/>
      <c r="AM1250" s="42"/>
      <c r="AN1250" s="42"/>
      <c r="AO1250" s="42"/>
      <c r="AP1250" s="42"/>
      <c r="AQ1250" s="42"/>
      <c r="AR1250" s="42"/>
      <c r="AS1250" s="42"/>
      <c r="AZ1250" s="42"/>
      <c r="BA1250" s="42"/>
      <c r="BB1250" s="42"/>
      <c r="BC1250" s="42"/>
      <c r="BD1250" s="42"/>
      <c r="BE1250" s="42"/>
    </row>
    <row r="1251" spans="1:57" s="7" customFormat="1" x14ac:dyDescent="0.25">
      <c r="A1251" s="7" t="s">
        <v>8</v>
      </c>
      <c r="B1251" s="56">
        <v>38055</v>
      </c>
      <c r="C1251" s="23" t="s">
        <v>927</v>
      </c>
      <c r="D1251" s="24" t="s">
        <v>927</v>
      </c>
      <c r="E1251" s="5" t="s">
        <v>16</v>
      </c>
      <c r="F1251" s="5" t="s">
        <v>16</v>
      </c>
      <c r="G1251" s="5"/>
      <c r="H1251" s="7" t="s">
        <v>150</v>
      </c>
      <c r="I1251" s="7" t="s">
        <v>8</v>
      </c>
      <c r="J1251" s="7" t="s">
        <v>8</v>
      </c>
      <c r="K1251" s="7" t="s">
        <v>124</v>
      </c>
      <c r="L1251" s="7" t="s">
        <v>2702</v>
      </c>
      <c r="M1251" s="7" t="s">
        <v>2653</v>
      </c>
      <c r="N1251" s="19" t="s">
        <v>1696</v>
      </c>
      <c r="O1251" s="22"/>
      <c r="P1251" s="19" t="s">
        <v>160</v>
      </c>
      <c r="Q1251" s="19"/>
      <c r="R1251" s="19"/>
      <c r="S1251" s="19" t="s">
        <v>160</v>
      </c>
      <c r="T1251" s="19" t="s">
        <v>160</v>
      </c>
      <c r="U1251" s="19"/>
      <c r="V1251" s="19"/>
      <c r="W1251" s="19"/>
      <c r="X1251" s="19" t="s">
        <v>160</v>
      </c>
      <c r="Y1251" s="19" t="s">
        <v>160</v>
      </c>
      <c r="Z1251" s="19" t="s">
        <v>160</v>
      </c>
      <c r="AA1251" s="19" t="s">
        <v>160</v>
      </c>
      <c r="AB1251" s="19" t="s">
        <v>160</v>
      </c>
      <c r="AC1251" s="19" t="s">
        <v>160</v>
      </c>
      <c r="AD1251" s="19" t="s">
        <v>160</v>
      </c>
      <c r="AE1251" s="19" t="s">
        <v>160</v>
      </c>
      <c r="AF1251" s="19" t="s">
        <v>160</v>
      </c>
      <c r="AG1251" s="19" t="s">
        <v>160</v>
      </c>
      <c r="AH1251" s="19" t="s">
        <v>160</v>
      </c>
      <c r="AI1251" s="19" t="s">
        <v>160</v>
      </c>
      <c r="AJ1251" s="19" t="s">
        <v>160</v>
      </c>
      <c r="AK1251" s="19" t="s">
        <v>160</v>
      </c>
      <c r="AL1251" s="19"/>
      <c r="AM1251" s="19"/>
      <c r="AN1251" s="19"/>
      <c r="AO1251" s="19"/>
      <c r="AP1251" s="19"/>
      <c r="AQ1251" s="19"/>
      <c r="AR1251" s="19"/>
      <c r="AS1251" s="19"/>
      <c r="AT1251" s="19" t="s">
        <v>160</v>
      </c>
      <c r="AU1251" s="19" t="s">
        <v>160</v>
      </c>
      <c r="AV1251" s="19"/>
      <c r="AW1251" s="19"/>
      <c r="AX1251" s="19"/>
      <c r="AY1251" s="19"/>
      <c r="AZ1251" s="19"/>
      <c r="BA1251" s="19"/>
      <c r="BB1251" s="19"/>
      <c r="BC1251" s="19"/>
      <c r="BD1251" s="19"/>
      <c r="BE1251" s="19"/>
    </row>
    <row r="1252" spans="1:57" x14ac:dyDescent="0.25">
      <c r="A1252" s="7" t="s">
        <v>706</v>
      </c>
      <c r="B1252" s="56">
        <v>138</v>
      </c>
      <c r="C1252" s="56" t="s">
        <v>927</v>
      </c>
      <c r="D1252" s="62" t="s">
        <v>123</v>
      </c>
      <c r="E1252" s="5" t="s">
        <v>16</v>
      </c>
      <c r="F1252" s="5" t="s">
        <v>16</v>
      </c>
      <c r="G1252" s="5"/>
      <c r="H1252" s="7" t="s">
        <v>150</v>
      </c>
      <c r="I1252" s="7" t="s">
        <v>8</v>
      </c>
      <c r="J1252" s="7" t="s">
        <v>8</v>
      </c>
      <c r="K1252" s="7" t="s">
        <v>124</v>
      </c>
      <c r="L1252" s="7" t="s">
        <v>2032</v>
      </c>
      <c r="M1252" s="7" t="s">
        <v>2653</v>
      </c>
      <c r="N1252" s="19" t="s">
        <v>1696</v>
      </c>
      <c r="O1252" s="22"/>
      <c r="P1252" s="19" t="s">
        <v>160</v>
      </c>
      <c r="S1252" s="19" t="s">
        <v>160</v>
      </c>
      <c r="T1252" s="19" t="s">
        <v>160</v>
      </c>
      <c r="X1252" s="19" t="s">
        <v>160</v>
      </c>
      <c r="Y1252" s="19" t="s">
        <v>160</v>
      </c>
      <c r="Z1252" s="19" t="s">
        <v>160</v>
      </c>
      <c r="AA1252" s="19" t="s">
        <v>160</v>
      </c>
      <c r="BB1252" s="19"/>
      <c r="BC1252" s="19"/>
      <c r="BD1252" s="19"/>
      <c r="BE1252" s="19"/>
    </row>
    <row r="1253" spans="1:57" s="105" customFormat="1" x14ac:dyDescent="0.25">
      <c r="A1253" s="98" t="s">
        <v>2773</v>
      </c>
      <c r="B1253" s="135">
        <v>2102</v>
      </c>
      <c r="C1253" s="98" t="s">
        <v>1242</v>
      </c>
      <c r="D1253" s="98" t="s">
        <v>1242</v>
      </c>
      <c r="E1253" s="189">
        <f>56+25/60+48/3600</f>
        <v>56.43</v>
      </c>
      <c r="F1253" s="189">
        <f>12+37/60+48/3600</f>
        <v>12.63</v>
      </c>
      <c r="G1253" s="101"/>
      <c r="H1253" s="98" t="s">
        <v>150</v>
      </c>
      <c r="I1253" s="98" t="s">
        <v>8</v>
      </c>
      <c r="J1253" s="102" t="s">
        <v>8</v>
      </c>
      <c r="K1253" s="98" t="s">
        <v>6</v>
      </c>
      <c r="L1253" s="102" t="s">
        <v>2030</v>
      </c>
      <c r="M1253" s="102" t="s">
        <v>717</v>
      </c>
      <c r="N1253" s="104" t="s">
        <v>1303</v>
      </c>
      <c r="O1253" s="104"/>
      <c r="P1253" s="104"/>
      <c r="Q1253" s="103" t="s">
        <v>1627</v>
      </c>
      <c r="R1253" s="103"/>
      <c r="S1253" s="103"/>
      <c r="T1253" s="103"/>
      <c r="U1253" s="104">
        <v>4</v>
      </c>
      <c r="V1253" s="103" t="s">
        <v>160</v>
      </c>
      <c r="W1253" s="103"/>
      <c r="X1253" s="103"/>
      <c r="Y1253" s="103"/>
      <c r="Z1253" s="103"/>
      <c r="AA1253" s="103"/>
      <c r="AB1253" s="103"/>
      <c r="AC1253" s="103"/>
      <c r="AD1253" s="103"/>
      <c r="AE1253" s="103"/>
      <c r="AF1253" s="103"/>
      <c r="AG1253" s="103"/>
      <c r="AH1253" s="103"/>
      <c r="AI1253" s="103"/>
      <c r="AJ1253" s="103"/>
      <c r="AK1253" s="103"/>
      <c r="AL1253" s="103"/>
      <c r="AM1253" s="103"/>
      <c r="AN1253" s="103"/>
      <c r="AO1253" s="103"/>
      <c r="AP1253" s="103"/>
      <c r="AQ1253" s="103"/>
      <c r="AR1253" s="103"/>
      <c r="AS1253" s="103"/>
      <c r="AT1253" s="103"/>
      <c r="AU1253" s="103"/>
      <c r="AV1253" s="103"/>
      <c r="AW1253" s="103"/>
      <c r="AX1253" s="103"/>
      <c r="AY1253" s="103"/>
      <c r="AZ1253" s="103"/>
      <c r="BA1253" s="103"/>
      <c r="BB1253" s="103"/>
      <c r="BC1253" s="103"/>
      <c r="BD1253" s="103"/>
      <c r="BE1253" s="103"/>
    </row>
    <row r="1254" spans="1:57" s="7" customFormat="1" x14ac:dyDescent="0.25">
      <c r="A1254" s="10" t="s">
        <v>8</v>
      </c>
      <c r="B1254" s="155">
        <v>2102</v>
      </c>
      <c r="C1254" s="10" t="s">
        <v>1242</v>
      </c>
      <c r="D1254" s="10" t="s">
        <v>1242</v>
      </c>
      <c r="E1254" s="195">
        <v>56.43</v>
      </c>
      <c r="F1254" s="195">
        <v>12.63</v>
      </c>
      <c r="G1254" s="30"/>
      <c r="H1254" s="10" t="s">
        <v>150</v>
      </c>
      <c r="I1254" s="10" t="s">
        <v>8</v>
      </c>
      <c r="J1254" s="24" t="s">
        <v>8</v>
      </c>
      <c r="K1254" s="10" t="s">
        <v>6</v>
      </c>
      <c r="L1254" s="24" t="s">
        <v>2030</v>
      </c>
      <c r="M1254" s="24" t="s">
        <v>717</v>
      </c>
      <c r="N1254" s="22" t="s">
        <v>1303</v>
      </c>
      <c r="O1254" s="22"/>
      <c r="P1254" s="22"/>
      <c r="Q1254" s="20" t="s">
        <v>1627</v>
      </c>
      <c r="R1254" s="20"/>
      <c r="S1254" s="20"/>
      <c r="T1254" s="20"/>
      <c r="U1254" s="22">
        <v>4</v>
      </c>
      <c r="V1254" s="20" t="s">
        <v>160</v>
      </c>
      <c r="W1254" s="20"/>
      <c r="X1254" s="20"/>
      <c r="Y1254" s="20"/>
      <c r="Z1254" s="20"/>
      <c r="AA1254" s="20"/>
      <c r="AB1254" s="20"/>
      <c r="AC1254" s="20"/>
      <c r="AD1254" s="20"/>
      <c r="AE1254" s="20"/>
      <c r="AF1254" s="20"/>
      <c r="AG1254" s="20"/>
      <c r="AH1254" s="20"/>
      <c r="AI1254" s="20"/>
      <c r="AJ1254" s="20"/>
      <c r="AK1254" s="20"/>
      <c r="AL1254" s="20"/>
      <c r="AM1254" s="20"/>
      <c r="AN1254" s="20"/>
      <c r="AO1254" s="20"/>
      <c r="AP1254" s="20"/>
      <c r="AQ1254" s="20"/>
      <c r="AR1254" s="20"/>
      <c r="AS1254" s="20"/>
      <c r="AT1254" s="20"/>
      <c r="AU1254" s="20"/>
      <c r="AV1254" s="20"/>
      <c r="AW1254" s="20"/>
      <c r="AX1254" s="20"/>
      <c r="AY1254" s="20"/>
      <c r="AZ1254" s="20"/>
      <c r="BA1254" s="20"/>
      <c r="BB1254" s="20"/>
      <c r="BC1254" s="20"/>
      <c r="BD1254" s="20"/>
      <c r="BE1254" s="20"/>
    </row>
    <row r="1255" spans="1:57" x14ac:dyDescent="0.25">
      <c r="A1255" s="7" t="s">
        <v>707</v>
      </c>
      <c r="B1255" s="146" t="s">
        <v>628</v>
      </c>
      <c r="C1255" s="23" t="s">
        <v>959</v>
      </c>
      <c r="D1255" s="41" t="s">
        <v>629</v>
      </c>
      <c r="E1255" s="46" t="s">
        <v>631</v>
      </c>
      <c r="F1255" s="46" t="s">
        <v>630</v>
      </c>
      <c r="G1255" s="41"/>
      <c r="H1255" s="7" t="s">
        <v>150</v>
      </c>
      <c r="I1255" s="41" t="s">
        <v>360</v>
      </c>
      <c r="J1255" s="24" t="s">
        <v>169</v>
      </c>
      <c r="K1255" s="41" t="s">
        <v>954</v>
      </c>
      <c r="L1255" s="41" t="s">
        <v>2703</v>
      </c>
      <c r="M1255" s="7" t="s">
        <v>2653</v>
      </c>
      <c r="N1255" s="19" t="s">
        <v>2733</v>
      </c>
      <c r="O1255" s="42" t="s">
        <v>160</v>
      </c>
      <c r="P1255" s="42" t="s">
        <v>160</v>
      </c>
      <c r="Q1255" s="19" t="s">
        <v>2638</v>
      </c>
      <c r="U1255" s="19">
        <v>4</v>
      </c>
      <c r="V1255" s="42" t="s">
        <v>160</v>
      </c>
      <c r="W1255" s="42"/>
      <c r="X1255" s="42" t="s">
        <v>160</v>
      </c>
      <c r="Y1255" s="42" t="s">
        <v>160</v>
      </c>
      <c r="Z1255" s="42" t="s">
        <v>160</v>
      </c>
      <c r="AA1255" s="42" t="s">
        <v>160</v>
      </c>
      <c r="AB1255" s="42"/>
      <c r="AC1255" s="42"/>
      <c r="AD1255" s="42"/>
      <c r="AE1255" s="42"/>
      <c r="AF1255" s="42"/>
      <c r="AG1255" s="42"/>
      <c r="AH1255" s="42"/>
      <c r="AI1255" s="42"/>
      <c r="AJ1255" s="42"/>
      <c r="AK1255" s="42"/>
      <c r="AL1255" s="42" t="s">
        <v>160</v>
      </c>
      <c r="AM1255" s="42" t="s">
        <v>160</v>
      </c>
      <c r="AN1255" s="42"/>
      <c r="AO1255" s="42"/>
      <c r="AP1255" s="42"/>
      <c r="AQ1255" s="42"/>
      <c r="AR1255" s="42" t="s">
        <v>160</v>
      </c>
      <c r="AS1255" s="42" t="s">
        <v>160</v>
      </c>
      <c r="AT1255" s="19" t="s">
        <v>160</v>
      </c>
      <c r="AU1255" s="19" t="s">
        <v>160</v>
      </c>
      <c r="AV1255" s="19" t="s">
        <v>160</v>
      </c>
      <c r="AW1255" s="19" t="s">
        <v>160</v>
      </c>
      <c r="AZ1255" s="42" t="s">
        <v>160</v>
      </c>
      <c r="BA1255" s="42" t="s">
        <v>160</v>
      </c>
      <c r="BB1255" s="42"/>
      <c r="BC1255" s="42"/>
      <c r="BD1255" s="42"/>
      <c r="BE1255" s="42"/>
    </row>
    <row r="1256" spans="1:57" s="105" customFormat="1" x14ac:dyDescent="0.25">
      <c r="A1256" s="122" t="s">
        <v>2773</v>
      </c>
      <c r="B1256" s="139" t="s">
        <v>2990</v>
      </c>
      <c r="C1256" s="110" t="s">
        <v>959</v>
      </c>
      <c r="D1256" s="183" t="s">
        <v>2732</v>
      </c>
      <c r="E1256" s="150">
        <f>57+40/60+52/3600</f>
        <v>57.681111111111107</v>
      </c>
      <c r="F1256" s="150">
        <f>11+47/60+17.16/3600</f>
        <v>11.7881</v>
      </c>
      <c r="G1256" s="84"/>
      <c r="H1256" s="105" t="s">
        <v>150</v>
      </c>
      <c r="I1256" s="113" t="s">
        <v>360</v>
      </c>
      <c r="J1256" s="102" t="s">
        <v>169</v>
      </c>
      <c r="K1256" s="102" t="s">
        <v>954</v>
      </c>
      <c r="L1256" s="102" t="s">
        <v>2703</v>
      </c>
      <c r="M1256" s="105" t="s">
        <v>2653</v>
      </c>
      <c r="N1256" s="108" t="s">
        <v>2733</v>
      </c>
      <c r="O1256" s="106" t="s">
        <v>160</v>
      </c>
      <c r="P1256" s="106" t="s">
        <v>160</v>
      </c>
      <c r="Q1256" s="108" t="s">
        <v>2638</v>
      </c>
      <c r="R1256" s="108"/>
      <c r="S1256" s="108"/>
      <c r="T1256" s="108"/>
      <c r="U1256" s="108">
        <v>4</v>
      </c>
      <c r="V1256" s="108" t="s">
        <v>160</v>
      </c>
      <c r="W1256" s="108"/>
      <c r="X1256" s="108" t="s">
        <v>160</v>
      </c>
      <c r="Y1256" s="108" t="s">
        <v>160</v>
      </c>
      <c r="Z1256" s="108" t="s">
        <v>160</v>
      </c>
      <c r="AA1256" s="108" t="s">
        <v>160</v>
      </c>
      <c r="AB1256" s="108"/>
      <c r="AC1256" s="108"/>
      <c r="AD1256" s="108"/>
      <c r="AE1256" s="108"/>
      <c r="AF1256" s="108"/>
      <c r="AG1256" s="108"/>
      <c r="AH1256" s="108"/>
      <c r="AI1256" s="108"/>
      <c r="AJ1256" s="108"/>
      <c r="AK1256" s="108"/>
      <c r="AL1256" s="108" t="s">
        <v>160</v>
      </c>
      <c r="AM1256" s="108" t="s">
        <v>160</v>
      </c>
      <c r="AN1256" s="108"/>
      <c r="AO1256" s="108"/>
      <c r="AP1256" s="108"/>
      <c r="AQ1256" s="108"/>
      <c r="AR1256" s="108" t="s">
        <v>160</v>
      </c>
      <c r="AS1256" s="108" t="s">
        <v>160</v>
      </c>
      <c r="AT1256" s="108" t="s">
        <v>160</v>
      </c>
      <c r="AU1256" s="108" t="s">
        <v>160</v>
      </c>
      <c r="AV1256" s="108" t="s">
        <v>160</v>
      </c>
      <c r="AW1256" s="108" t="s">
        <v>160</v>
      </c>
      <c r="AX1256" s="108"/>
      <c r="AY1256" s="108"/>
      <c r="AZ1256" s="108" t="s">
        <v>160</v>
      </c>
      <c r="BA1256" s="108" t="s">
        <v>160</v>
      </c>
      <c r="BB1256" s="108"/>
      <c r="BC1256" s="108"/>
      <c r="BD1256" s="108"/>
      <c r="BE1256" s="108"/>
    </row>
    <row r="1257" spans="1:57" s="7" customFormat="1" x14ac:dyDescent="0.25">
      <c r="A1257" s="21" t="s">
        <v>8</v>
      </c>
      <c r="B1257" s="142">
        <v>35172</v>
      </c>
      <c r="C1257" s="23" t="s">
        <v>959</v>
      </c>
      <c r="D1257" s="24" t="s">
        <v>2732</v>
      </c>
      <c r="E1257" s="193">
        <v>57.681100000000001</v>
      </c>
      <c r="F1257" s="193">
        <v>11.7881</v>
      </c>
      <c r="G1257" s="25"/>
      <c r="H1257" s="7" t="s">
        <v>150</v>
      </c>
      <c r="I1257" s="41" t="s">
        <v>360</v>
      </c>
      <c r="J1257" s="24" t="s">
        <v>169</v>
      </c>
      <c r="K1257" s="24" t="s">
        <v>954</v>
      </c>
      <c r="L1257" s="24" t="s">
        <v>2703</v>
      </c>
      <c r="M1257" s="7" t="s">
        <v>2653</v>
      </c>
      <c r="N1257" s="19" t="s">
        <v>2733</v>
      </c>
      <c r="O1257" s="42" t="s">
        <v>160</v>
      </c>
      <c r="P1257" s="42" t="s">
        <v>160</v>
      </c>
      <c r="Q1257" s="19" t="s">
        <v>2638</v>
      </c>
      <c r="R1257" s="19"/>
      <c r="S1257" s="19"/>
      <c r="T1257" s="19"/>
      <c r="U1257" s="19">
        <v>4</v>
      </c>
      <c r="V1257" s="19" t="s">
        <v>160</v>
      </c>
      <c r="W1257" s="19"/>
      <c r="X1257" s="19" t="s">
        <v>160</v>
      </c>
      <c r="Y1257" s="19" t="s">
        <v>160</v>
      </c>
      <c r="Z1257" s="19" t="s">
        <v>160</v>
      </c>
      <c r="AA1257" s="19" t="s">
        <v>160</v>
      </c>
      <c r="AB1257" s="19"/>
      <c r="AC1257" s="19"/>
      <c r="AD1257" s="19"/>
      <c r="AE1257" s="19"/>
      <c r="AF1257" s="19"/>
      <c r="AG1257" s="19"/>
      <c r="AH1257" s="19"/>
      <c r="AI1257" s="19"/>
      <c r="AJ1257" s="19"/>
      <c r="AK1257" s="19"/>
      <c r="AL1257" s="19" t="s">
        <v>160</v>
      </c>
      <c r="AM1257" s="19" t="s">
        <v>160</v>
      </c>
      <c r="AN1257" s="19"/>
      <c r="AO1257" s="19"/>
      <c r="AP1257" s="19"/>
      <c r="AQ1257" s="19"/>
      <c r="AR1257" s="19" t="s">
        <v>160</v>
      </c>
      <c r="AS1257" s="19" t="s">
        <v>160</v>
      </c>
      <c r="AT1257" s="19" t="s">
        <v>160</v>
      </c>
      <c r="AU1257" s="19" t="s">
        <v>160</v>
      </c>
      <c r="AV1257" s="19" t="s">
        <v>160</v>
      </c>
      <c r="AW1257" s="19" t="s">
        <v>160</v>
      </c>
      <c r="AX1257" s="19"/>
      <c r="AY1257" s="19"/>
      <c r="AZ1257" s="19" t="s">
        <v>160</v>
      </c>
      <c r="BA1257" s="19" t="s">
        <v>160</v>
      </c>
      <c r="BB1257" s="19"/>
      <c r="BC1257" s="19"/>
      <c r="BD1257" s="19"/>
      <c r="BE1257" s="19"/>
    </row>
    <row r="1258" spans="1:57" x14ac:dyDescent="0.25">
      <c r="A1258" s="7" t="s">
        <v>706</v>
      </c>
      <c r="B1258" s="144">
        <v>101</v>
      </c>
      <c r="C1258" s="23" t="s">
        <v>959</v>
      </c>
      <c r="D1258" t="s">
        <v>125</v>
      </c>
      <c r="E1258" s="47">
        <f>57+40/60+52/3600</f>
        <v>57.681111111111107</v>
      </c>
      <c r="F1258" s="47">
        <f>11+47/60+17/3600</f>
        <v>11.788055555555555</v>
      </c>
      <c r="G1258" s="5"/>
      <c r="H1258" s="7" t="s">
        <v>150</v>
      </c>
      <c r="I1258" s="41" t="s">
        <v>360</v>
      </c>
      <c r="J1258" s="7" t="s">
        <v>169</v>
      </c>
      <c r="K1258" s="7" t="s">
        <v>954</v>
      </c>
      <c r="L1258" s="7" t="s">
        <v>2703</v>
      </c>
      <c r="M1258" s="7" t="s">
        <v>2653</v>
      </c>
      <c r="N1258" s="19" t="s">
        <v>2733</v>
      </c>
      <c r="O1258" s="42" t="s">
        <v>160</v>
      </c>
      <c r="P1258" s="42" t="s">
        <v>160</v>
      </c>
      <c r="Q1258" s="19" t="s">
        <v>2638</v>
      </c>
      <c r="U1258" s="19">
        <v>4</v>
      </c>
      <c r="V1258" s="19" t="s">
        <v>160</v>
      </c>
      <c r="X1258" s="19" t="s">
        <v>160</v>
      </c>
      <c r="Y1258" s="19" t="s">
        <v>160</v>
      </c>
      <c r="Z1258" s="19" t="s">
        <v>160</v>
      </c>
      <c r="AA1258" s="19" t="s">
        <v>160</v>
      </c>
      <c r="AL1258" s="19" t="s">
        <v>160</v>
      </c>
      <c r="AM1258" s="19" t="s">
        <v>160</v>
      </c>
      <c r="AR1258" s="19" t="s">
        <v>160</v>
      </c>
      <c r="AS1258" s="19" t="s">
        <v>160</v>
      </c>
      <c r="AT1258" s="19" t="s">
        <v>160</v>
      </c>
      <c r="AU1258" s="19" t="s">
        <v>160</v>
      </c>
      <c r="AV1258" s="19" t="s">
        <v>160</v>
      </c>
      <c r="AW1258" s="19" t="s">
        <v>160</v>
      </c>
      <c r="AZ1258" s="19" t="s">
        <v>160</v>
      </c>
      <c r="BA1258" s="19" t="s">
        <v>160</v>
      </c>
      <c r="BB1258" s="19"/>
      <c r="BC1258" s="19"/>
      <c r="BD1258" s="19"/>
      <c r="BE1258" s="19"/>
    </row>
    <row r="1259" spans="1:57" s="7" customFormat="1" x14ac:dyDescent="0.25">
      <c r="A1259" s="6" t="s">
        <v>8</v>
      </c>
      <c r="B1259" s="9">
        <v>71430</v>
      </c>
      <c r="C1259" s="9" t="s">
        <v>2417</v>
      </c>
      <c r="D1259" s="9" t="s">
        <v>1541</v>
      </c>
      <c r="E1259" s="3">
        <v>57.7166</v>
      </c>
      <c r="F1259" s="3">
        <v>11.783300000000001</v>
      </c>
      <c r="G1259" s="9">
        <v>3</v>
      </c>
      <c r="H1259" s="9" t="s">
        <v>150</v>
      </c>
      <c r="I1259" s="6" t="s">
        <v>8</v>
      </c>
      <c r="J1259" s="21" t="s">
        <v>8</v>
      </c>
      <c r="K1259" s="3" t="s">
        <v>5</v>
      </c>
      <c r="L1259" s="5" t="s">
        <v>2680</v>
      </c>
      <c r="M1259" s="7" t="s">
        <v>717</v>
      </c>
      <c r="N1259" s="19" t="s">
        <v>2542</v>
      </c>
      <c r="O1259" s="22"/>
      <c r="P1259" s="19" t="s">
        <v>160</v>
      </c>
      <c r="Q1259" s="19"/>
      <c r="R1259" s="19"/>
      <c r="S1259" s="19"/>
      <c r="T1259" s="19"/>
      <c r="U1259" s="19"/>
      <c r="V1259" s="19"/>
      <c r="W1259" s="19"/>
      <c r="X1259" s="19"/>
      <c r="Y1259" s="19"/>
      <c r="Z1259" s="19"/>
      <c r="AA1259" s="19"/>
      <c r="AB1259" s="19"/>
      <c r="AC1259" s="19"/>
      <c r="AD1259" s="19"/>
      <c r="AE1259" s="19"/>
      <c r="AF1259" s="19"/>
      <c r="AG1259" s="19"/>
      <c r="AH1259" s="19"/>
      <c r="AI1259" s="19"/>
      <c r="AJ1259" s="19"/>
      <c r="AK1259" s="19"/>
      <c r="AL1259" s="19"/>
      <c r="AM1259" s="19"/>
      <c r="AN1259" s="19"/>
      <c r="AO1259" s="19"/>
      <c r="AP1259" s="19"/>
      <c r="AQ1259" s="19"/>
      <c r="AR1259" s="19" t="s">
        <v>160</v>
      </c>
      <c r="AS1259" s="19"/>
      <c r="AT1259" s="19" t="s">
        <v>160</v>
      </c>
      <c r="AU1259" s="19"/>
      <c r="AV1259" s="19" t="s">
        <v>160</v>
      </c>
      <c r="AW1259" s="19"/>
      <c r="AX1259" s="19" t="s">
        <v>160</v>
      </c>
      <c r="AY1259" s="19"/>
      <c r="AZ1259" s="19" t="s">
        <v>160</v>
      </c>
      <c r="BA1259" s="19"/>
      <c r="BB1259" s="19"/>
      <c r="BC1259" s="19"/>
      <c r="BD1259" s="19"/>
      <c r="BE1259" s="19"/>
    </row>
    <row r="1260" spans="1:57" s="7" customFormat="1" x14ac:dyDescent="0.25">
      <c r="A1260" s="9" t="s">
        <v>707</v>
      </c>
      <c r="B1260" s="9" t="s">
        <v>2622</v>
      </c>
      <c r="C1260" s="9" t="s">
        <v>2619</v>
      </c>
      <c r="D1260" s="9" t="s">
        <v>2618</v>
      </c>
      <c r="E1260" s="46" t="s">
        <v>2620</v>
      </c>
      <c r="F1260" s="46" t="s">
        <v>2621</v>
      </c>
      <c r="G1260" s="9"/>
      <c r="H1260" s="9" t="s">
        <v>150</v>
      </c>
      <c r="I1260" s="9" t="s">
        <v>169</v>
      </c>
      <c r="J1260" s="21" t="s">
        <v>169</v>
      </c>
      <c r="K1260" s="3" t="s">
        <v>5</v>
      </c>
      <c r="L1260" s="5" t="s">
        <v>2043</v>
      </c>
      <c r="M1260" s="7" t="s">
        <v>832</v>
      </c>
      <c r="N1260" s="19"/>
      <c r="O1260" s="22"/>
      <c r="P1260" s="19"/>
      <c r="Q1260" s="19"/>
      <c r="R1260" s="19"/>
      <c r="S1260" s="19"/>
      <c r="T1260" s="19"/>
      <c r="U1260" s="19"/>
      <c r="V1260" s="19"/>
      <c r="W1260" s="19"/>
      <c r="X1260" s="19"/>
      <c r="Y1260" s="19"/>
      <c r="Z1260" s="19"/>
      <c r="AA1260" s="19"/>
      <c r="AB1260" s="19"/>
      <c r="AC1260" s="19"/>
      <c r="AD1260" s="19"/>
      <c r="AE1260" s="19"/>
      <c r="AF1260" s="19"/>
      <c r="AG1260" s="19"/>
      <c r="AH1260" s="19"/>
      <c r="AI1260" s="19"/>
      <c r="AJ1260" s="19"/>
      <c r="AK1260" s="19"/>
      <c r="AL1260" s="19"/>
      <c r="AM1260" s="19"/>
      <c r="AN1260" s="19"/>
      <c r="AO1260" s="19"/>
      <c r="AP1260" s="19"/>
      <c r="AQ1260" s="19"/>
      <c r="AR1260" s="19" t="s">
        <v>160</v>
      </c>
      <c r="AS1260" s="19" t="s">
        <v>160</v>
      </c>
      <c r="AT1260" s="19"/>
      <c r="AU1260" s="19"/>
      <c r="AV1260" s="19"/>
      <c r="AW1260" s="19"/>
      <c r="AX1260" s="19"/>
      <c r="AY1260" s="19"/>
      <c r="AZ1260" s="19"/>
      <c r="BA1260" s="19"/>
      <c r="BB1260" s="19"/>
      <c r="BC1260" s="19"/>
      <c r="BD1260" s="19"/>
      <c r="BE1260" s="19"/>
    </row>
    <row r="1261" spans="1:57" s="7" customFormat="1" x14ac:dyDescent="0.25">
      <c r="A1261" s="9" t="s">
        <v>706</v>
      </c>
      <c r="B1261" s="9"/>
      <c r="C1261" s="9" t="s">
        <v>2619</v>
      </c>
      <c r="D1261" s="9" t="s">
        <v>2619</v>
      </c>
      <c r="E1261" s="57">
        <f>55+59/60+48.06/3600</f>
        <v>55.996683333333337</v>
      </c>
      <c r="F1261" s="57">
        <f>14+26/60+44.64/3600</f>
        <v>14.445733333333333</v>
      </c>
      <c r="G1261" s="9"/>
      <c r="H1261" s="9" t="s">
        <v>150</v>
      </c>
      <c r="I1261" s="9" t="s">
        <v>169</v>
      </c>
      <c r="J1261" s="21" t="s">
        <v>169</v>
      </c>
      <c r="K1261" s="3" t="s">
        <v>5</v>
      </c>
      <c r="L1261" s="5" t="s">
        <v>2043</v>
      </c>
      <c r="M1261" s="7" t="s">
        <v>832</v>
      </c>
      <c r="N1261" s="19"/>
      <c r="O1261" s="22"/>
      <c r="P1261" s="19"/>
      <c r="Q1261" s="19"/>
      <c r="R1261" s="19"/>
      <c r="S1261" s="19"/>
      <c r="T1261" s="19"/>
      <c r="U1261" s="19"/>
      <c r="V1261" s="19"/>
      <c r="W1261" s="19"/>
      <c r="X1261" s="19"/>
      <c r="Y1261" s="19"/>
      <c r="Z1261" s="19"/>
      <c r="AA1261" s="19"/>
      <c r="AB1261" s="19"/>
      <c r="AC1261" s="19"/>
      <c r="AD1261" s="19"/>
      <c r="AE1261" s="19"/>
      <c r="AF1261" s="19"/>
      <c r="AG1261" s="19"/>
      <c r="AH1261" s="19"/>
      <c r="AI1261" s="19"/>
      <c r="AJ1261" s="19"/>
      <c r="AK1261" s="19"/>
      <c r="AL1261" s="19"/>
      <c r="AM1261" s="19"/>
      <c r="AN1261" s="19"/>
      <c r="AO1261" s="19"/>
      <c r="AP1261" s="19"/>
      <c r="AQ1261" s="19"/>
      <c r="AR1261" s="19" t="s">
        <v>160</v>
      </c>
      <c r="AS1261" s="19" t="s">
        <v>160</v>
      </c>
      <c r="AT1261" s="19"/>
      <c r="AU1261" s="19"/>
      <c r="AV1261" s="19"/>
      <c r="AW1261" s="19"/>
      <c r="AX1261" s="19"/>
      <c r="AY1261" s="19"/>
      <c r="AZ1261" s="19"/>
      <c r="BA1261" s="19"/>
      <c r="BB1261" s="19"/>
      <c r="BC1261" s="19"/>
      <c r="BD1261" s="19"/>
      <c r="BE1261" s="19"/>
    </row>
    <row r="1262" spans="1:57" s="7" customFormat="1" x14ac:dyDescent="0.25">
      <c r="A1262" s="9" t="s">
        <v>8</v>
      </c>
      <c r="B1262" s="27">
        <v>37140</v>
      </c>
      <c r="C1262" s="28" t="s">
        <v>2439</v>
      </c>
      <c r="D1262" s="28" t="s">
        <v>1726</v>
      </c>
      <c r="E1262" s="25">
        <v>59.433300000000003</v>
      </c>
      <c r="F1262" s="25">
        <v>18.366700000000002</v>
      </c>
      <c r="G1262" s="3"/>
      <c r="H1262" s="9" t="s">
        <v>150</v>
      </c>
      <c r="I1262" s="9" t="s">
        <v>8</v>
      </c>
      <c r="J1262" s="7" t="s">
        <v>8</v>
      </c>
      <c r="K1262" s="6" t="s">
        <v>2455</v>
      </c>
      <c r="L1262" s="7" t="s">
        <v>2027</v>
      </c>
      <c r="M1262" s="28" t="s">
        <v>717</v>
      </c>
      <c r="N1262" s="19" t="s">
        <v>1827</v>
      </c>
      <c r="O1262" s="22"/>
      <c r="P1262" s="19"/>
      <c r="Q1262" s="19"/>
      <c r="R1262" s="19"/>
      <c r="S1262" s="19"/>
      <c r="U1262" s="19"/>
      <c r="V1262" s="19"/>
      <c r="W1262" s="19"/>
      <c r="X1262" s="19"/>
      <c r="Y1262" s="19"/>
      <c r="Z1262" s="19"/>
      <c r="AA1262" s="19"/>
      <c r="AB1262" s="19"/>
      <c r="AC1262" s="19"/>
      <c r="AD1262" s="19"/>
      <c r="AE1262" s="19"/>
      <c r="AF1262" s="19"/>
      <c r="AG1262" s="19"/>
      <c r="AH1262" s="19"/>
      <c r="AI1262" s="19"/>
      <c r="AJ1262" s="19"/>
      <c r="AK1262" s="19"/>
      <c r="AL1262" s="19"/>
      <c r="AM1262" s="19"/>
      <c r="AN1262" s="19"/>
      <c r="AO1262" s="19"/>
      <c r="AP1262" s="19"/>
      <c r="AQ1262" s="19"/>
      <c r="AR1262" s="19"/>
      <c r="AS1262" s="19"/>
      <c r="AT1262" s="19"/>
      <c r="AU1262" s="19"/>
      <c r="AV1262" s="19"/>
      <c r="AW1262" s="19"/>
      <c r="AX1262" s="19"/>
      <c r="AY1262" s="19"/>
      <c r="AZ1262" s="19"/>
    </row>
    <row r="1263" spans="1:57" x14ac:dyDescent="0.25">
      <c r="A1263" s="9" t="s">
        <v>8</v>
      </c>
      <c r="B1263" s="9">
        <v>38003</v>
      </c>
      <c r="C1263" s="9" t="s">
        <v>1965</v>
      </c>
      <c r="D1263" s="64" t="s">
        <v>1965</v>
      </c>
      <c r="E1263" s="3">
        <v>65.417699999999996</v>
      </c>
      <c r="F1263" s="3">
        <v>24.161100000000001</v>
      </c>
      <c r="H1263" s="9" t="s">
        <v>150</v>
      </c>
      <c r="I1263" s="9" t="s">
        <v>8</v>
      </c>
      <c r="J1263" s="7" t="s">
        <v>8</v>
      </c>
      <c r="K1263" s="6" t="s">
        <v>951</v>
      </c>
      <c r="L1263" s="7" t="s">
        <v>2702</v>
      </c>
      <c r="M1263" s="5" t="s">
        <v>717</v>
      </c>
      <c r="N1263" s="19" t="s">
        <v>1204</v>
      </c>
      <c r="O1263" s="22"/>
      <c r="P1263" s="19" t="s">
        <v>160</v>
      </c>
      <c r="S1263" s="19" t="s">
        <v>160</v>
      </c>
      <c r="T1263" s="19" t="s">
        <v>160</v>
      </c>
      <c r="V1263" s="7"/>
      <c r="X1263" s="19" t="s">
        <v>160</v>
      </c>
      <c r="Y1263" s="5"/>
      <c r="Z1263" s="19" t="s">
        <v>160</v>
      </c>
      <c r="AB1263" s="19" t="s">
        <v>160</v>
      </c>
      <c r="AD1263" s="19" t="s">
        <v>160</v>
      </c>
      <c r="AF1263" s="19" t="s">
        <v>160</v>
      </c>
      <c r="AH1263" s="19" t="s">
        <v>160</v>
      </c>
      <c r="AJ1263" s="19" t="s">
        <v>160</v>
      </c>
      <c r="AT1263" s="19" t="s">
        <v>160</v>
      </c>
      <c r="BB1263" s="19"/>
      <c r="BC1263" s="19"/>
      <c r="BD1263" s="19"/>
      <c r="BE1263" s="19"/>
    </row>
    <row r="1264" spans="1:57" s="7" customFormat="1" x14ac:dyDescent="0.25">
      <c r="A1264" s="9" t="s">
        <v>707</v>
      </c>
      <c r="B1264" s="39" t="s">
        <v>632</v>
      </c>
      <c r="C1264" s="39" t="s">
        <v>928</v>
      </c>
      <c r="D1264" s="40" t="s">
        <v>633</v>
      </c>
      <c r="E1264" s="46" t="s">
        <v>635</v>
      </c>
      <c r="F1264" s="46" t="s">
        <v>634</v>
      </c>
      <c r="G1264" s="40"/>
      <c r="H1264" s="9" t="s">
        <v>148</v>
      </c>
      <c r="I1264" s="7" t="s">
        <v>169</v>
      </c>
      <c r="J1264" s="24" t="s">
        <v>169</v>
      </c>
      <c r="K1264" s="9" t="s">
        <v>936</v>
      </c>
      <c r="L1264" s="41" t="s">
        <v>2036</v>
      </c>
      <c r="M1264" s="7" t="s">
        <v>2653</v>
      </c>
      <c r="N1264" s="19"/>
      <c r="O1264" s="19"/>
      <c r="P1264" s="19"/>
      <c r="Q1264" s="19"/>
      <c r="R1264" s="19"/>
      <c r="S1264" s="19"/>
      <c r="T1264" s="19"/>
      <c r="U1264" s="19"/>
      <c r="V1264" s="42"/>
      <c r="W1264" s="42"/>
      <c r="X1264" s="42"/>
      <c r="Y1264" s="42"/>
      <c r="Z1264" s="42"/>
      <c r="AA1264" s="42"/>
      <c r="AB1264" s="42"/>
      <c r="AC1264" s="42"/>
      <c r="AD1264" s="42"/>
      <c r="AE1264" s="42"/>
      <c r="AF1264" s="42"/>
      <c r="AG1264" s="42"/>
      <c r="AH1264" s="42"/>
      <c r="AI1264" s="42"/>
      <c r="AJ1264" s="42"/>
      <c r="AK1264" s="42"/>
      <c r="AL1264" s="42"/>
      <c r="AM1264" s="42"/>
      <c r="AN1264" s="42"/>
      <c r="AO1264" s="42"/>
      <c r="AP1264" s="42" t="s">
        <v>160</v>
      </c>
      <c r="AQ1264" s="42" t="s">
        <v>160</v>
      </c>
      <c r="AR1264" s="42"/>
      <c r="AS1264" s="42"/>
      <c r="AT1264" s="19"/>
      <c r="AU1264" s="19"/>
      <c r="AV1264" s="19"/>
      <c r="AW1264" s="19"/>
      <c r="AX1264" s="19"/>
      <c r="AY1264" s="19"/>
      <c r="AZ1264" s="42"/>
      <c r="BA1264" s="42"/>
      <c r="BB1264" s="42"/>
      <c r="BC1264" s="42"/>
      <c r="BD1264" s="42"/>
      <c r="BE1264" s="42"/>
    </row>
    <row r="1265" spans="1:57" s="94" customFormat="1" x14ac:dyDescent="0.25">
      <c r="A1265" s="114" t="s">
        <v>2773</v>
      </c>
      <c r="B1265" s="110" t="s">
        <v>2991</v>
      </c>
      <c r="C1265" s="115" t="s">
        <v>928</v>
      </c>
      <c r="D1265" s="153" t="s">
        <v>126</v>
      </c>
      <c r="E1265" s="93">
        <f>58+16/60+34.968/3600</f>
        <v>58.276379999999996</v>
      </c>
      <c r="F1265" s="93">
        <f>12+16/60+33.636/3600</f>
        <v>12.276010000000001</v>
      </c>
      <c r="G1265" s="93"/>
      <c r="H1265" s="94" t="s">
        <v>148</v>
      </c>
      <c r="I1265" s="105" t="s">
        <v>169</v>
      </c>
      <c r="J1265" s="102" t="s">
        <v>169</v>
      </c>
      <c r="K1265" s="94" t="s">
        <v>936</v>
      </c>
      <c r="L1265" s="102" t="s">
        <v>2036</v>
      </c>
      <c r="M1265" s="105" t="s">
        <v>2653</v>
      </c>
      <c r="N1265" s="108"/>
      <c r="O1265" s="108"/>
      <c r="P1265" s="108"/>
      <c r="Q1265" s="108"/>
      <c r="R1265" s="108"/>
      <c r="S1265" s="108"/>
      <c r="T1265" s="108"/>
      <c r="U1265" s="108"/>
      <c r="V1265" s="108"/>
      <c r="W1265" s="108"/>
      <c r="X1265" s="108"/>
      <c r="Y1265" s="108"/>
      <c r="Z1265" s="108"/>
      <c r="AA1265" s="108"/>
      <c r="AB1265" s="108"/>
      <c r="AC1265" s="108"/>
      <c r="AD1265" s="108"/>
      <c r="AE1265" s="108"/>
      <c r="AF1265" s="108"/>
      <c r="AG1265" s="108"/>
      <c r="AH1265" s="108"/>
      <c r="AI1265" s="108"/>
      <c r="AJ1265" s="108"/>
      <c r="AK1265" s="108"/>
      <c r="AL1265" s="108"/>
      <c r="AM1265" s="108"/>
      <c r="AN1265" s="108"/>
      <c r="AO1265" s="108"/>
      <c r="AP1265" s="108" t="s">
        <v>160</v>
      </c>
      <c r="AQ1265" s="108" t="s">
        <v>160</v>
      </c>
      <c r="AR1265" s="108"/>
      <c r="AS1265" s="108"/>
      <c r="AT1265" s="108"/>
      <c r="AU1265" s="108"/>
      <c r="AV1265" s="108"/>
      <c r="AW1265" s="108"/>
      <c r="AX1265" s="108"/>
      <c r="AY1265" s="108"/>
      <c r="AZ1265" s="108"/>
      <c r="BA1265" s="108"/>
      <c r="BB1265" s="108"/>
      <c r="BC1265" s="108"/>
      <c r="BD1265" s="108"/>
      <c r="BE1265" s="108"/>
    </row>
    <row r="1266" spans="1:57" x14ac:dyDescent="0.25">
      <c r="A1266" s="6" t="s">
        <v>8</v>
      </c>
      <c r="B1266" s="23">
        <v>35192</v>
      </c>
      <c r="C1266" s="39" t="s">
        <v>928</v>
      </c>
      <c r="D1266" s="24" t="s">
        <v>793</v>
      </c>
      <c r="E1266" s="5">
        <f>58+16/60+34.968/3600</f>
        <v>58.276379999999996</v>
      </c>
      <c r="F1266" s="5">
        <f>12+16/60+33.636/3600</f>
        <v>12.276010000000001</v>
      </c>
      <c r="G1266" s="5"/>
      <c r="H1266" s="9" t="s">
        <v>148</v>
      </c>
      <c r="I1266" s="7" t="s">
        <v>169</v>
      </c>
      <c r="J1266" s="24" t="s">
        <v>169</v>
      </c>
      <c r="K1266" s="9" t="s">
        <v>936</v>
      </c>
      <c r="L1266" s="24" t="s">
        <v>2036</v>
      </c>
      <c r="M1266" s="7" t="s">
        <v>2653</v>
      </c>
      <c r="AP1266" s="19" t="s">
        <v>160</v>
      </c>
      <c r="AQ1266" s="19" t="s">
        <v>160</v>
      </c>
      <c r="BB1266" s="19"/>
      <c r="BC1266" s="19"/>
      <c r="BD1266" s="19"/>
      <c r="BE1266" s="19"/>
    </row>
    <row r="1267" spans="1:57" s="7" customFormat="1" x14ac:dyDescent="0.25">
      <c r="A1267" s="9" t="s">
        <v>706</v>
      </c>
      <c r="B1267" s="38">
        <v>106</v>
      </c>
      <c r="C1267" s="39" t="s">
        <v>928</v>
      </c>
      <c r="D1267" s="62" t="s">
        <v>126</v>
      </c>
      <c r="E1267" s="3">
        <f>58+16/60+35/3600</f>
        <v>58.276388888888889</v>
      </c>
      <c r="F1267" s="3">
        <f>12+16/60+34/3600</f>
        <v>12.276111111111112</v>
      </c>
      <c r="G1267" s="5"/>
      <c r="H1267" s="9" t="s">
        <v>148</v>
      </c>
      <c r="I1267" s="7" t="s">
        <v>169</v>
      </c>
      <c r="J1267" s="24" t="s">
        <v>169</v>
      </c>
      <c r="K1267" s="9" t="s">
        <v>936</v>
      </c>
      <c r="L1267" s="7" t="s">
        <v>2036</v>
      </c>
      <c r="M1267" s="7" t="s">
        <v>2653</v>
      </c>
      <c r="N1267" s="19"/>
      <c r="O1267" s="19"/>
      <c r="P1267" s="19"/>
      <c r="Q1267" s="19"/>
      <c r="R1267" s="19"/>
      <c r="S1267" s="19"/>
      <c r="T1267" s="19"/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19"/>
      <c r="AE1267" s="19"/>
      <c r="AF1267" s="19"/>
      <c r="AG1267" s="19"/>
      <c r="AH1267" s="19"/>
      <c r="AI1267" s="19"/>
      <c r="AJ1267" s="19"/>
      <c r="AK1267" s="19"/>
      <c r="AL1267" s="19"/>
      <c r="AM1267" s="19"/>
      <c r="AN1267" s="19"/>
      <c r="AO1267" s="19"/>
      <c r="AP1267" s="19" t="s">
        <v>160</v>
      </c>
      <c r="AQ1267" s="19" t="s">
        <v>160</v>
      </c>
      <c r="AR1267" s="19"/>
      <c r="AS1267" s="19"/>
      <c r="AT1267" s="19"/>
      <c r="AU1267" s="19"/>
      <c r="AV1267" s="19"/>
      <c r="AW1267" s="19"/>
      <c r="AX1267" s="19"/>
      <c r="AY1267" s="19"/>
      <c r="AZ1267" s="19"/>
      <c r="BA1267" s="19"/>
      <c r="BB1267" s="19"/>
      <c r="BC1267" s="19"/>
      <c r="BD1267" s="19"/>
      <c r="BE1267" s="19"/>
    </row>
    <row r="1268" spans="1:57" x14ac:dyDescent="0.25">
      <c r="A1268" s="6" t="s">
        <v>8</v>
      </c>
      <c r="B1268" s="9">
        <v>82190</v>
      </c>
      <c r="C1268" s="9" t="s">
        <v>2451</v>
      </c>
      <c r="D1268" s="9" t="s">
        <v>1542</v>
      </c>
      <c r="E1268" s="3">
        <v>58.314100000000003</v>
      </c>
      <c r="F1268" s="3">
        <v>12.3292</v>
      </c>
      <c r="G1268" s="9">
        <v>43</v>
      </c>
      <c r="H1268" s="9" t="s">
        <v>148</v>
      </c>
      <c r="I1268" s="6" t="s">
        <v>8</v>
      </c>
      <c r="J1268" s="21" t="s">
        <v>8</v>
      </c>
      <c r="K1268" s="3" t="s">
        <v>5</v>
      </c>
      <c r="L1268" s="5" t="s">
        <v>2680</v>
      </c>
      <c r="M1268" s="7" t="s">
        <v>717</v>
      </c>
      <c r="N1268" s="19" t="s">
        <v>2476</v>
      </c>
      <c r="O1268" s="22"/>
      <c r="P1268" s="19" t="s">
        <v>160</v>
      </c>
      <c r="AR1268" s="19" t="s">
        <v>160</v>
      </c>
      <c r="AT1268" s="19" t="s">
        <v>160</v>
      </c>
      <c r="AV1268" s="19" t="s">
        <v>160</v>
      </c>
      <c r="AX1268" s="19" t="s">
        <v>160</v>
      </c>
      <c r="AZ1268" s="19" t="s">
        <v>160</v>
      </c>
      <c r="BB1268" s="19"/>
      <c r="BC1268" s="19"/>
      <c r="BD1268" s="19"/>
      <c r="BE1268" s="19"/>
    </row>
    <row r="1269" spans="1:57" s="7" customFormat="1" x14ac:dyDescent="0.25">
      <c r="A1269" s="6" t="s">
        <v>8</v>
      </c>
      <c r="B1269" s="9">
        <v>87540</v>
      </c>
      <c r="C1269" s="9" t="s">
        <v>2418</v>
      </c>
      <c r="D1269" s="9" t="s">
        <v>1543</v>
      </c>
      <c r="E1269" s="3">
        <v>58.9</v>
      </c>
      <c r="F1269" s="3">
        <v>17.566600000000001</v>
      </c>
      <c r="G1269" s="9">
        <v>5</v>
      </c>
      <c r="H1269" s="3" t="s">
        <v>150</v>
      </c>
      <c r="I1269" s="6" t="s">
        <v>8</v>
      </c>
      <c r="J1269" s="21" t="s">
        <v>8</v>
      </c>
      <c r="K1269" s="3" t="s">
        <v>5</v>
      </c>
      <c r="L1269" s="5" t="s">
        <v>2028</v>
      </c>
      <c r="M1269" s="5" t="s">
        <v>717</v>
      </c>
      <c r="N1269" s="19" t="s">
        <v>2579</v>
      </c>
      <c r="O1269" s="22"/>
      <c r="P1269" s="19" t="s">
        <v>160</v>
      </c>
      <c r="Q1269" s="19"/>
      <c r="R1269" s="19"/>
      <c r="S1269" s="19"/>
      <c r="T1269" s="19"/>
      <c r="U1269" s="19"/>
      <c r="V1269" s="29"/>
      <c r="W1269" s="29"/>
      <c r="X1269" s="29"/>
      <c r="Y1269" s="29"/>
      <c r="Z1269" s="29"/>
      <c r="AA1269" s="29"/>
      <c r="AB1269" s="29"/>
      <c r="AC1269" s="29"/>
      <c r="AD1269" s="29"/>
      <c r="AE1269" s="29"/>
      <c r="AF1269" s="29"/>
      <c r="AG1269" s="29"/>
      <c r="AH1269" s="29"/>
      <c r="AI1269" s="29"/>
      <c r="AJ1269" s="29"/>
      <c r="AK1269" s="29"/>
      <c r="AL1269" s="29"/>
      <c r="AM1269" s="29"/>
      <c r="AN1269" s="29"/>
      <c r="AO1269" s="29"/>
      <c r="AP1269" s="29"/>
      <c r="AQ1269" s="29"/>
      <c r="AR1269" s="29"/>
      <c r="AS1269" s="29"/>
      <c r="AT1269" s="19" t="s">
        <v>160</v>
      </c>
      <c r="AU1269" s="19"/>
      <c r="AV1269" s="19"/>
      <c r="AW1269" s="19"/>
      <c r="AX1269" s="19"/>
      <c r="AY1269" s="19"/>
      <c r="AZ1269" s="19"/>
      <c r="BA1269" s="19"/>
      <c r="BB1269" s="19"/>
      <c r="BC1269" s="19"/>
      <c r="BD1269" s="19"/>
      <c r="BE1269" s="19"/>
    </row>
    <row r="1270" spans="1:57" x14ac:dyDescent="0.25">
      <c r="A1270" s="98" t="s">
        <v>2773</v>
      </c>
      <c r="B1270" s="135">
        <v>2106</v>
      </c>
      <c r="C1270" s="98" t="s">
        <v>1086</v>
      </c>
      <c r="D1270" s="98" t="s">
        <v>1086</v>
      </c>
      <c r="E1270" s="189">
        <f>57+36/60</f>
        <v>57.6</v>
      </c>
      <c r="F1270" s="189">
        <f>11+38/60</f>
        <v>11.633333333333333</v>
      </c>
      <c r="G1270" s="101"/>
      <c r="H1270" s="98" t="s">
        <v>150</v>
      </c>
      <c r="I1270" s="98" t="s">
        <v>8</v>
      </c>
      <c r="J1270" s="102" t="s">
        <v>8</v>
      </c>
      <c r="K1270" s="98" t="s">
        <v>6</v>
      </c>
      <c r="L1270" s="102" t="s">
        <v>2030</v>
      </c>
      <c r="M1270" s="102" t="s">
        <v>717</v>
      </c>
      <c r="N1270" s="104" t="s">
        <v>1321</v>
      </c>
      <c r="O1270" s="104"/>
      <c r="P1270" s="104"/>
      <c r="Q1270" s="103" t="s">
        <v>1628</v>
      </c>
      <c r="R1270" s="103"/>
      <c r="S1270" s="103"/>
      <c r="T1270" s="103"/>
      <c r="U1270" s="104">
        <v>4</v>
      </c>
      <c r="V1270" s="103" t="s">
        <v>160</v>
      </c>
      <c r="W1270" s="103"/>
      <c r="X1270" s="103"/>
      <c r="Y1270" s="103"/>
      <c r="Z1270" s="103"/>
      <c r="AA1270" s="103"/>
      <c r="AB1270" s="103"/>
      <c r="AC1270" s="103"/>
      <c r="AD1270" s="103"/>
      <c r="AE1270" s="103"/>
      <c r="AF1270" s="103"/>
      <c r="AG1270" s="103"/>
      <c r="AH1270" s="103"/>
      <c r="AI1270" s="103"/>
      <c r="AJ1270" s="103"/>
      <c r="AK1270" s="103"/>
      <c r="AL1270" s="103"/>
      <c r="AM1270" s="103"/>
      <c r="AN1270" s="103"/>
      <c r="AO1270" s="103"/>
      <c r="AP1270" s="103"/>
      <c r="AQ1270" s="103"/>
      <c r="AR1270" s="103"/>
      <c r="AS1270" s="103"/>
      <c r="AT1270" s="103"/>
      <c r="AU1270" s="103"/>
      <c r="AV1270" s="103"/>
      <c r="AW1270" s="103"/>
      <c r="AX1270" s="103"/>
      <c r="AY1270" s="103"/>
      <c r="AZ1270" s="103"/>
      <c r="BA1270" s="103"/>
      <c r="BB1270" s="103"/>
      <c r="BC1270" s="103"/>
      <c r="BD1270" s="103"/>
      <c r="BE1270" s="103"/>
    </row>
    <row r="1271" spans="1:57" x14ac:dyDescent="0.25">
      <c r="A1271" s="10" t="s">
        <v>8</v>
      </c>
      <c r="B1271" s="155">
        <v>2106</v>
      </c>
      <c r="C1271" s="10" t="s">
        <v>1086</v>
      </c>
      <c r="D1271" s="10" t="s">
        <v>1086</v>
      </c>
      <c r="E1271" s="193">
        <v>57.594799999999999</v>
      </c>
      <c r="F1271" s="193">
        <v>11.632899999999999</v>
      </c>
      <c r="G1271" s="30"/>
      <c r="H1271" s="10" t="s">
        <v>150</v>
      </c>
      <c r="I1271" s="10" t="s">
        <v>8</v>
      </c>
      <c r="J1271" s="24" t="s">
        <v>8</v>
      </c>
      <c r="K1271" s="10" t="s">
        <v>6</v>
      </c>
      <c r="L1271" s="24" t="s">
        <v>2030</v>
      </c>
      <c r="M1271" s="24" t="s">
        <v>717</v>
      </c>
      <c r="N1271" s="22" t="s">
        <v>1321</v>
      </c>
      <c r="O1271" s="22"/>
      <c r="P1271" s="22"/>
      <c r="Q1271" s="20" t="s">
        <v>1628</v>
      </c>
      <c r="R1271" s="20"/>
      <c r="S1271" s="20"/>
      <c r="T1271" s="20"/>
      <c r="U1271" s="22">
        <v>4</v>
      </c>
      <c r="V1271" s="20" t="s">
        <v>160</v>
      </c>
      <c r="W1271" s="20"/>
      <c r="X1271" s="20"/>
      <c r="Y1271" s="20"/>
      <c r="Z1271" s="20"/>
      <c r="AA1271" s="20"/>
      <c r="AB1271" s="20"/>
      <c r="AC1271" s="20"/>
      <c r="AD1271" s="20"/>
      <c r="AE1271" s="20"/>
      <c r="AF1271" s="20"/>
      <c r="AG1271" s="20"/>
      <c r="AH1271" s="20"/>
      <c r="AI1271" s="20"/>
      <c r="AJ1271" s="20"/>
      <c r="AK1271" s="20"/>
      <c r="AL1271" s="20"/>
      <c r="AM1271" s="20"/>
      <c r="AN1271" s="20"/>
      <c r="AO1271" s="20"/>
      <c r="AP1271" s="20"/>
      <c r="AQ1271" s="20"/>
      <c r="AR1271" s="20"/>
      <c r="AS1271" s="20"/>
      <c r="AT1271" s="20"/>
      <c r="AU1271" s="20"/>
      <c r="AV1271" s="20"/>
      <c r="AW1271" s="20"/>
      <c r="AX1271" s="20"/>
      <c r="AY1271" s="20"/>
      <c r="AZ1271" s="20"/>
      <c r="BA1271" s="20"/>
      <c r="BB1271" s="20"/>
      <c r="BC1271" s="20"/>
      <c r="BD1271" s="20"/>
      <c r="BE1271" s="20"/>
    </row>
    <row r="1272" spans="1:57" s="94" customFormat="1" x14ac:dyDescent="0.25">
      <c r="A1272" s="9" t="s">
        <v>8</v>
      </c>
      <c r="B1272" s="26">
        <v>35070</v>
      </c>
      <c r="C1272" s="24" t="s">
        <v>1086</v>
      </c>
      <c r="D1272" s="24" t="s">
        <v>1086</v>
      </c>
      <c r="E1272" s="25">
        <f>57+36/60</f>
        <v>57.6</v>
      </c>
      <c r="F1272" s="25">
        <f>11+38/60</f>
        <v>11.633333333333333</v>
      </c>
      <c r="G1272" s="9"/>
      <c r="H1272" s="9" t="s">
        <v>150</v>
      </c>
      <c r="I1272" s="9" t="s">
        <v>8</v>
      </c>
      <c r="J1272" s="7" t="s">
        <v>8</v>
      </c>
      <c r="K1272" s="10" t="s">
        <v>951</v>
      </c>
      <c r="L1272" s="7" t="s">
        <v>2049</v>
      </c>
      <c r="M1272" s="7" t="s">
        <v>717</v>
      </c>
      <c r="N1272" s="42" t="s">
        <v>1321</v>
      </c>
      <c r="O1272" s="22"/>
      <c r="P1272" s="42" t="s">
        <v>160</v>
      </c>
      <c r="Q1272" s="19"/>
      <c r="R1272" s="19"/>
      <c r="S1272" s="42" t="s">
        <v>160</v>
      </c>
      <c r="T1272" s="19" t="s">
        <v>160</v>
      </c>
      <c r="U1272" s="42"/>
      <c r="V1272" s="19"/>
      <c r="W1272" s="19"/>
      <c r="X1272" s="19"/>
      <c r="Y1272" s="19"/>
      <c r="Z1272" s="19"/>
      <c r="AA1272" s="19"/>
      <c r="AB1272" s="19"/>
      <c r="AC1272" s="19"/>
      <c r="AD1272" s="19"/>
      <c r="AE1272" s="19"/>
      <c r="AF1272" s="19"/>
      <c r="AG1272" s="19"/>
      <c r="AH1272" s="19"/>
      <c r="AI1272" s="19"/>
      <c r="AJ1272" s="19"/>
      <c r="AK1272" s="19"/>
      <c r="AL1272" s="19"/>
      <c r="AM1272" s="19"/>
      <c r="AN1272" s="19" t="s">
        <v>160</v>
      </c>
      <c r="AO1272" s="19"/>
      <c r="AP1272" s="19"/>
      <c r="AQ1272" s="19"/>
      <c r="AR1272" s="19"/>
      <c r="AS1272" s="19"/>
      <c r="AT1272" s="19"/>
      <c r="AU1272" s="19"/>
      <c r="AV1272" s="19"/>
      <c r="AW1272" s="19"/>
      <c r="AX1272" s="19"/>
      <c r="AY1272" s="19"/>
      <c r="AZ1272" s="19"/>
      <c r="BA1272" s="19"/>
      <c r="BB1272" s="19"/>
      <c r="BC1272" s="19"/>
      <c r="BD1272" s="19"/>
      <c r="BE1272" s="19"/>
    </row>
    <row r="1273" spans="1:57" x14ac:dyDescent="0.25">
      <c r="A1273" s="9" t="s">
        <v>8</v>
      </c>
      <c r="B1273" s="27">
        <v>37307</v>
      </c>
      <c r="C1273" s="28" t="s">
        <v>1966</v>
      </c>
      <c r="D1273" s="28" t="s">
        <v>1086</v>
      </c>
      <c r="E1273" s="25">
        <v>57.6</v>
      </c>
      <c r="F1273" s="25">
        <v>11.6333</v>
      </c>
      <c r="H1273" s="9" t="s">
        <v>150</v>
      </c>
      <c r="I1273" s="9" t="s">
        <v>8</v>
      </c>
      <c r="J1273" s="7" t="s">
        <v>8</v>
      </c>
      <c r="K1273" s="6" t="s">
        <v>2455</v>
      </c>
      <c r="L1273" s="7" t="s">
        <v>2027</v>
      </c>
      <c r="M1273" s="28" t="s">
        <v>717</v>
      </c>
      <c r="N1273" s="19" t="s">
        <v>1860</v>
      </c>
      <c r="O1273" s="22"/>
      <c r="T1273" s="7"/>
      <c r="X1273" s="19" t="s">
        <v>160</v>
      </c>
      <c r="BA1273" s="7"/>
      <c r="BB1273" s="7"/>
      <c r="BC1273" s="7"/>
      <c r="BD1273" s="7"/>
      <c r="BE1273" s="7"/>
    </row>
    <row r="1274" spans="1:57" s="7" customFormat="1" x14ac:dyDescent="0.25">
      <c r="A1274" s="6" t="s">
        <v>8</v>
      </c>
      <c r="B1274" s="9">
        <v>71360</v>
      </c>
      <c r="C1274" s="9" t="s">
        <v>1544</v>
      </c>
      <c r="D1274" s="9" t="s">
        <v>1545</v>
      </c>
      <c r="E1274" s="3">
        <v>57.595999999999997</v>
      </c>
      <c r="F1274" s="3">
        <v>11.635199999999999</v>
      </c>
      <c r="G1274" s="33">
        <v>1</v>
      </c>
      <c r="H1274" s="9" t="s">
        <v>150</v>
      </c>
      <c r="I1274" s="6" t="s">
        <v>8</v>
      </c>
      <c r="J1274" s="21" t="s">
        <v>8</v>
      </c>
      <c r="K1274" s="3" t="s">
        <v>5</v>
      </c>
      <c r="L1274" s="5" t="s">
        <v>2680</v>
      </c>
      <c r="M1274" s="7" t="s">
        <v>717</v>
      </c>
      <c r="N1274" s="19" t="s">
        <v>2543</v>
      </c>
      <c r="O1274" s="22"/>
      <c r="P1274" s="19" t="s">
        <v>160</v>
      </c>
      <c r="Q1274" s="19"/>
      <c r="R1274" s="19"/>
      <c r="S1274" s="19"/>
      <c r="T1274" s="19"/>
      <c r="U1274" s="19"/>
      <c r="V1274" s="19"/>
      <c r="W1274" s="19"/>
      <c r="X1274" s="19"/>
      <c r="Y1274" s="19"/>
      <c r="Z1274" s="19"/>
      <c r="AA1274" s="19"/>
      <c r="AB1274" s="19"/>
      <c r="AC1274" s="19"/>
      <c r="AD1274" s="19"/>
      <c r="AE1274" s="19"/>
      <c r="AF1274" s="19"/>
      <c r="AG1274" s="19"/>
      <c r="AH1274" s="19"/>
      <c r="AI1274" s="19"/>
      <c r="AJ1274" s="19"/>
      <c r="AK1274" s="19"/>
      <c r="AL1274" s="19"/>
      <c r="AM1274" s="19"/>
      <c r="AN1274" s="19"/>
      <c r="AO1274" s="19"/>
      <c r="AP1274" s="19"/>
      <c r="AQ1274" s="19"/>
      <c r="AR1274" s="19" t="s">
        <v>160</v>
      </c>
      <c r="AS1274" s="19"/>
      <c r="AT1274" s="19" t="s">
        <v>160</v>
      </c>
      <c r="AU1274" s="19"/>
      <c r="AV1274" s="19" t="s">
        <v>160</v>
      </c>
      <c r="AW1274" s="19"/>
      <c r="AX1274" s="19" t="s">
        <v>160</v>
      </c>
      <c r="AY1274" s="19"/>
      <c r="AZ1274" s="19" t="s">
        <v>160</v>
      </c>
      <c r="BA1274" s="19"/>
      <c r="BB1274" s="19"/>
      <c r="BC1274" s="19"/>
      <c r="BD1274" s="19"/>
      <c r="BE1274" s="19"/>
    </row>
    <row r="1275" spans="1:57" x14ac:dyDescent="0.25">
      <c r="A1275" s="9" t="s">
        <v>707</v>
      </c>
      <c r="B1275" s="137" t="s">
        <v>642</v>
      </c>
      <c r="C1275" s="23" t="s">
        <v>729</v>
      </c>
      <c r="D1275" s="40" t="s">
        <v>643</v>
      </c>
      <c r="E1275" s="46" t="s">
        <v>645</v>
      </c>
      <c r="F1275" s="46" t="s">
        <v>644</v>
      </c>
      <c r="G1275" s="40"/>
      <c r="H1275" s="9" t="s">
        <v>150</v>
      </c>
      <c r="I1275" s="41" t="s">
        <v>8</v>
      </c>
      <c r="J1275" s="41" t="s">
        <v>8</v>
      </c>
      <c r="K1275" s="40" t="s">
        <v>6</v>
      </c>
      <c r="L1275" s="41" t="s">
        <v>2031</v>
      </c>
      <c r="M1275" s="7" t="s">
        <v>2653</v>
      </c>
      <c r="N1275" s="42" t="s">
        <v>1114</v>
      </c>
      <c r="O1275" s="22"/>
      <c r="P1275" s="42" t="s">
        <v>160</v>
      </c>
      <c r="Q1275" s="44" t="s">
        <v>1184</v>
      </c>
      <c r="R1275" s="44" t="s">
        <v>1605</v>
      </c>
      <c r="S1275" s="19" t="s">
        <v>160</v>
      </c>
      <c r="T1275" s="19" t="s">
        <v>160</v>
      </c>
      <c r="U1275" s="19">
        <v>1</v>
      </c>
      <c r="V1275" s="42" t="s">
        <v>160</v>
      </c>
      <c r="W1275" s="42" t="s">
        <v>160</v>
      </c>
      <c r="X1275" s="42" t="s">
        <v>160</v>
      </c>
      <c r="Y1275" s="42" t="s">
        <v>160</v>
      </c>
      <c r="Z1275" s="42"/>
      <c r="AA1275" s="42"/>
      <c r="AB1275" s="42"/>
      <c r="AC1275" s="42"/>
      <c r="AD1275" s="42"/>
      <c r="AE1275" s="42"/>
      <c r="AF1275" s="42"/>
      <c r="AG1275" s="42"/>
      <c r="AH1275" s="42"/>
      <c r="AI1275" s="42"/>
      <c r="AJ1275" s="42"/>
      <c r="AK1275" s="42"/>
      <c r="AL1275" s="42"/>
      <c r="AM1275" s="42"/>
      <c r="AN1275" s="42"/>
      <c r="AO1275" s="42"/>
      <c r="AP1275" s="42"/>
      <c r="AQ1275" s="42"/>
      <c r="AR1275" s="42"/>
      <c r="AS1275" s="42"/>
      <c r="AZ1275" s="42"/>
      <c r="BA1275" s="42"/>
      <c r="BB1275" s="42"/>
      <c r="BC1275" s="42"/>
      <c r="BD1275" s="42"/>
      <c r="BE1275" s="42"/>
    </row>
    <row r="1276" spans="1:57" x14ac:dyDescent="0.25">
      <c r="A1276" s="53" t="s">
        <v>2763</v>
      </c>
      <c r="B1276" s="143">
        <v>2541</v>
      </c>
      <c r="C1276" s="85" t="s">
        <v>729</v>
      </c>
      <c r="D1276" s="85" t="s">
        <v>729</v>
      </c>
      <c r="E1276" s="35">
        <v>58.345092999999999</v>
      </c>
      <c r="F1276" s="35">
        <v>11.906863</v>
      </c>
      <c r="G1276" s="85">
        <v>1.76</v>
      </c>
      <c r="H1276" s="9" t="s">
        <v>150</v>
      </c>
      <c r="I1276" s="14" t="s">
        <v>8</v>
      </c>
      <c r="J1276" s="85" t="s">
        <v>8</v>
      </c>
      <c r="K1276" s="7" t="s">
        <v>6</v>
      </c>
      <c r="L1276" s="7" t="s">
        <v>2031</v>
      </c>
      <c r="M1276" s="7" t="s">
        <v>2653</v>
      </c>
      <c r="N1276" s="42" t="s">
        <v>1114</v>
      </c>
      <c r="O1276" s="22"/>
      <c r="P1276" s="42" t="s">
        <v>160</v>
      </c>
      <c r="Q1276" s="44" t="s">
        <v>1184</v>
      </c>
      <c r="R1276" s="44" t="s">
        <v>1605</v>
      </c>
      <c r="S1276" s="19" t="s">
        <v>160</v>
      </c>
      <c r="T1276" s="19" t="s">
        <v>160</v>
      </c>
      <c r="U1276" s="42">
        <v>1</v>
      </c>
      <c r="V1276" s="20" t="s">
        <v>160</v>
      </c>
      <c r="W1276" s="20" t="s">
        <v>160</v>
      </c>
      <c r="X1276" s="20" t="s">
        <v>160</v>
      </c>
      <c r="Y1276" s="20" t="s">
        <v>160</v>
      </c>
      <c r="Z1276" s="85"/>
      <c r="AA1276" s="85"/>
      <c r="AB1276" s="85"/>
      <c r="AC1276" s="85"/>
      <c r="AD1276" s="85"/>
      <c r="AE1276" s="85"/>
      <c r="AF1276" s="85"/>
      <c r="AG1276" s="85"/>
      <c r="AH1276" s="85"/>
      <c r="AI1276" s="85"/>
      <c r="AJ1276" s="85"/>
      <c r="AK1276" s="85"/>
      <c r="AL1276" s="85"/>
      <c r="AM1276" s="85"/>
      <c r="AN1276" s="85"/>
      <c r="AO1276" s="85"/>
      <c r="AP1276" s="85"/>
      <c r="AQ1276" s="85"/>
      <c r="AR1276" s="85"/>
      <c r="AS1276" s="85"/>
      <c r="AT1276" s="85"/>
      <c r="AU1276" s="85"/>
      <c r="AV1276" s="85"/>
      <c r="AW1276" s="85"/>
      <c r="AX1276" s="85"/>
      <c r="AY1276" s="85"/>
      <c r="AZ1276" s="85"/>
      <c r="BA1276" s="85"/>
      <c r="BB1276" s="85"/>
      <c r="BC1276" s="85"/>
      <c r="BD1276" s="85"/>
      <c r="BE1276" s="85"/>
    </row>
    <row r="1277" spans="1:57" s="94" customFormat="1" x14ac:dyDescent="0.25">
      <c r="A1277" s="94" t="s">
        <v>2773</v>
      </c>
      <c r="B1277" s="139" t="s">
        <v>2828</v>
      </c>
      <c r="C1277" s="110" t="s">
        <v>729</v>
      </c>
      <c r="D1277" s="153" t="s">
        <v>729</v>
      </c>
      <c r="E1277" s="84">
        <f>58+20/60+48.4/3600</f>
        <v>58.346777777777781</v>
      </c>
      <c r="F1277" s="84">
        <f>11+53/60+40.1/3600</f>
        <v>11.894472222222221</v>
      </c>
      <c r="G1277" s="178">
        <v>1.76</v>
      </c>
      <c r="H1277" s="105" t="s">
        <v>150</v>
      </c>
      <c r="I1277" s="105" t="s">
        <v>8</v>
      </c>
      <c r="J1277" s="105" t="s">
        <v>8</v>
      </c>
      <c r="K1277" s="105" t="s">
        <v>6</v>
      </c>
      <c r="L1277" s="105" t="s">
        <v>2031</v>
      </c>
      <c r="M1277" s="105" t="s">
        <v>2653</v>
      </c>
      <c r="N1277" s="106" t="s">
        <v>1114</v>
      </c>
      <c r="O1277" s="104"/>
      <c r="P1277" s="106" t="s">
        <v>160</v>
      </c>
      <c r="Q1277" s="107" t="s">
        <v>1184</v>
      </c>
      <c r="R1277" s="107" t="s">
        <v>1605</v>
      </c>
      <c r="S1277" s="108" t="s">
        <v>160</v>
      </c>
      <c r="T1277" s="108" t="s">
        <v>160</v>
      </c>
      <c r="U1277" s="106">
        <v>1</v>
      </c>
      <c r="V1277" s="103" t="s">
        <v>160</v>
      </c>
      <c r="W1277" s="103" t="s">
        <v>160</v>
      </c>
      <c r="X1277" s="103" t="s">
        <v>160</v>
      </c>
      <c r="Y1277" s="103" t="s">
        <v>160</v>
      </c>
      <c r="Z1277" s="103"/>
      <c r="AA1277" s="103"/>
      <c r="AB1277" s="103"/>
      <c r="AC1277" s="103"/>
      <c r="AD1277" s="103"/>
      <c r="AE1277" s="103"/>
      <c r="AF1277" s="103"/>
      <c r="AG1277" s="103"/>
      <c r="AH1277" s="103"/>
      <c r="AI1277" s="103"/>
      <c r="AJ1277" s="103"/>
      <c r="AK1277" s="103"/>
      <c r="AL1277" s="103"/>
      <c r="AM1277" s="103"/>
      <c r="AN1277" s="103"/>
      <c r="AO1277" s="103"/>
      <c r="AP1277" s="103"/>
      <c r="AQ1277" s="103"/>
      <c r="AR1277" s="103"/>
      <c r="AS1277" s="103"/>
      <c r="AT1277" s="103"/>
      <c r="AU1277" s="103"/>
      <c r="AV1277" s="103"/>
      <c r="AW1277" s="103"/>
      <c r="AX1277" s="103"/>
      <c r="AY1277" s="103"/>
      <c r="AZ1277" s="103"/>
      <c r="BA1277" s="103"/>
      <c r="BB1277" s="103"/>
      <c r="BC1277" s="103"/>
      <c r="BD1277" s="103"/>
      <c r="BE1277" s="103"/>
    </row>
    <row r="1278" spans="1:57" x14ac:dyDescent="0.25">
      <c r="A1278" s="9" t="s">
        <v>8</v>
      </c>
      <c r="B1278" s="142" t="s">
        <v>2989</v>
      </c>
      <c r="C1278" s="23" t="s">
        <v>729</v>
      </c>
      <c r="D1278" t="s">
        <v>729</v>
      </c>
      <c r="E1278" s="193">
        <v>58.347499999999997</v>
      </c>
      <c r="F1278" s="193">
        <v>11.8948</v>
      </c>
      <c r="G1278" s="43"/>
      <c r="H1278" s="7" t="s">
        <v>150</v>
      </c>
      <c r="I1278" s="7" t="s">
        <v>8</v>
      </c>
      <c r="J1278" s="7" t="s">
        <v>8</v>
      </c>
      <c r="K1278" s="7" t="s">
        <v>6</v>
      </c>
      <c r="L1278" s="7" t="s">
        <v>2031</v>
      </c>
      <c r="M1278" s="7" t="s">
        <v>2653</v>
      </c>
      <c r="N1278" s="42" t="s">
        <v>1114</v>
      </c>
      <c r="O1278" s="22"/>
      <c r="P1278" s="42" t="s">
        <v>160</v>
      </c>
      <c r="Q1278" s="44" t="s">
        <v>1184</v>
      </c>
      <c r="R1278" s="44" t="s">
        <v>1605</v>
      </c>
      <c r="S1278" s="19" t="s">
        <v>160</v>
      </c>
      <c r="T1278" s="19" t="s">
        <v>160</v>
      </c>
      <c r="U1278" s="42">
        <v>1</v>
      </c>
      <c r="V1278" s="20" t="s">
        <v>160</v>
      </c>
      <c r="W1278" s="20" t="s">
        <v>160</v>
      </c>
      <c r="X1278" s="20" t="s">
        <v>160</v>
      </c>
      <c r="Y1278" s="20" t="s">
        <v>160</v>
      </c>
      <c r="Z1278" s="20"/>
      <c r="AA1278" s="20"/>
      <c r="AB1278" s="20"/>
      <c r="AC1278" s="20"/>
      <c r="AD1278" s="20"/>
      <c r="AE1278" s="20"/>
      <c r="AF1278" s="20"/>
      <c r="AG1278" s="20"/>
      <c r="AH1278" s="20"/>
      <c r="AI1278" s="20"/>
      <c r="AJ1278" s="20"/>
      <c r="AK1278" s="20"/>
      <c r="AL1278" s="20"/>
      <c r="AM1278" s="20"/>
      <c r="AN1278" s="20"/>
      <c r="AO1278" s="20"/>
      <c r="AP1278" s="20"/>
      <c r="AQ1278" s="20"/>
      <c r="AR1278" s="20"/>
      <c r="AS1278" s="20"/>
      <c r="AT1278" s="20"/>
      <c r="AU1278" s="20"/>
      <c r="AV1278" s="20"/>
      <c r="AW1278" s="20"/>
      <c r="AX1278" s="20"/>
      <c r="AY1278" s="20"/>
      <c r="AZ1278" s="20"/>
      <c r="BA1278" s="20"/>
      <c r="BB1278" s="20"/>
      <c r="BC1278" s="20"/>
      <c r="BD1278" s="20"/>
      <c r="BE1278" s="20"/>
    </row>
    <row r="1279" spans="1:57" s="7" customFormat="1" x14ac:dyDescent="0.25">
      <c r="A1279" s="9" t="s">
        <v>706</v>
      </c>
      <c r="B1279" s="140">
        <v>14</v>
      </c>
      <c r="C1279" s="23" t="s">
        <v>729</v>
      </c>
      <c r="D1279" s="62" t="s">
        <v>129</v>
      </c>
      <c r="E1279" s="35">
        <f>58+20/60+43/3600</f>
        <v>58.345277777777781</v>
      </c>
      <c r="F1279" s="35">
        <f>11+54/60+25/3600</f>
        <v>11.906944444444445</v>
      </c>
      <c r="G1279" s="43"/>
      <c r="H1279" s="9" t="s">
        <v>150</v>
      </c>
      <c r="I1279" s="7" t="s">
        <v>8</v>
      </c>
      <c r="J1279" s="7" t="s">
        <v>8</v>
      </c>
      <c r="K1279" s="9" t="s">
        <v>6</v>
      </c>
      <c r="L1279" s="7" t="s">
        <v>2031</v>
      </c>
      <c r="M1279" s="7" t="s">
        <v>2653</v>
      </c>
      <c r="N1279" s="42" t="s">
        <v>1114</v>
      </c>
      <c r="O1279" s="22"/>
      <c r="P1279" s="42" t="s">
        <v>160</v>
      </c>
      <c r="Q1279" s="44" t="s">
        <v>1184</v>
      </c>
      <c r="R1279" s="44" t="s">
        <v>1605</v>
      </c>
      <c r="S1279" s="19" t="s">
        <v>160</v>
      </c>
      <c r="T1279" s="19" t="s">
        <v>160</v>
      </c>
      <c r="U1279" s="19">
        <v>1</v>
      </c>
      <c r="V1279" s="19" t="s">
        <v>160</v>
      </c>
      <c r="W1279" s="19" t="s">
        <v>160</v>
      </c>
      <c r="X1279" s="19" t="s">
        <v>160</v>
      </c>
      <c r="Y1279" s="19" t="s">
        <v>160</v>
      </c>
      <c r="Z1279" s="19"/>
      <c r="AA1279" s="19"/>
      <c r="AB1279" s="19"/>
      <c r="AC1279" s="19"/>
      <c r="AD1279" s="19"/>
      <c r="AE1279" s="19"/>
      <c r="AF1279" s="19"/>
      <c r="AG1279" s="19"/>
      <c r="AH1279" s="19"/>
      <c r="AI1279" s="19"/>
      <c r="AJ1279" s="19"/>
      <c r="AK1279" s="19"/>
      <c r="AL1279" s="19"/>
      <c r="AM1279" s="19"/>
      <c r="AN1279" s="19"/>
      <c r="AO1279" s="19"/>
      <c r="AP1279" s="19"/>
      <c r="AQ1279" s="19"/>
      <c r="AR1279" s="19"/>
      <c r="AS1279" s="19"/>
      <c r="AT1279" s="19"/>
      <c r="AU1279" s="19"/>
      <c r="AV1279" s="19"/>
      <c r="AW1279" s="19"/>
      <c r="AX1279" s="19"/>
      <c r="AY1279" s="19"/>
      <c r="AZ1279" s="19"/>
      <c r="BA1279" s="19"/>
      <c r="BB1279" s="19"/>
      <c r="BC1279" s="19"/>
      <c r="BD1279" s="19"/>
      <c r="BE1279" s="19"/>
    </row>
    <row r="1280" spans="1:57" s="7" customFormat="1" x14ac:dyDescent="0.25">
      <c r="A1280" s="6" t="s">
        <v>8</v>
      </c>
      <c r="B1280" s="9">
        <v>81210</v>
      </c>
      <c r="C1280" s="9" t="s">
        <v>2261</v>
      </c>
      <c r="D1280" s="9" t="s">
        <v>729</v>
      </c>
      <c r="E1280" s="3">
        <v>58.354999999999997</v>
      </c>
      <c r="F1280" s="3">
        <v>11.9541</v>
      </c>
      <c r="G1280" s="9">
        <v>10</v>
      </c>
      <c r="H1280" s="3" t="s">
        <v>150</v>
      </c>
      <c r="I1280" s="6" t="s">
        <v>8</v>
      </c>
      <c r="J1280" s="21" t="s">
        <v>8</v>
      </c>
      <c r="K1280" s="3" t="s">
        <v>5</v>
      </c>
      <c r="L1280" s="5" t="s">
        <v>2028</v>
      </c>
      <c r="M1280" s="5" t="s">
        <v>717</v>
      </c>
      <c r="N1280" s="19" t="s">
        <v>2580</v>
      </c>
      <c r="O1280" s="22"/>
      <c r="P1280" s="19" t="s">
        <v>160</v>
      </c>
      <c r="Q1280" s="19"/>
      <c r="R1280" s="19"/>
      <c r="S1280" s="19"/>
      <c r="T1280" s="19"/>
      <c r="U1280" s="19"/>
      <c r="V1280" s="29"/>
      <c r="W1280" s="29"/>
      <c r="X1280" s="29"/>
      <c r="Y1280" s="29"/>
      <c r="Z1280" s="29"/>
      <c r="AA1280" s="29"/>
      <c r="AB1280" s="29"/>
      <c r="AC1280" s="29"/>
      <c r="AD1280" s="29"/>
      <c r="AE1280" s="29"/>
      <c r="AF1280" s="29"/>
      <c r="AG1280" s="29"/>
      <c r="AH1280" s="29"/>
      <c r="AI1280" s="29"/>
      <c r="AJ1280" s="29"/>
      <c r="AK1280" s="29"/>
      <c r="AL1280" s="29"/>
      <c r="AM1280" s="29"/>
      <c r="AN1280" s="29"/>
      <c r="AO1280" s="29"/>
      <c r="AP1280" s="29"/>
      <c r="AQ1280" s="29"/>
      <c r="AR1280" s="29"/>
      <c r="AS1280" s="29"/>
      <c r="AT1280" s="19" t="s">
        <v>160</v>
      </c>
      <c r="AU1280" s="19"/>
      <c r="AV1280" s="19"/>
      <c r="AW1280" s="19"/>
      <c r="AX1280" s="19"/>
      <c r="AY1280" s="19"/>
      <c r="AZ1280" s="19"/>
      <c r="BA1280" s="19"/>
      <c r="BB1280" s="19"/>
      <c r="BC1280" s="19"/>
      <c r="BD1280" s="19"/>
      <c r="BE1280" s="19"/>
    </row>
    <row r="1281" spans="1:57" s="7" customFormat="1" x14ac:dyDescent="0.25">
      <c r="A1281" s="6" t="s">
        <v>8</v>
      </c>
      <c r="B1281" s="9">
        <v>140500</v>
      </c>
      <c r="C1281" s="9" t="s">
        <v>2419</v>
      </c>
      <c r="D1281" s="9" t="s">
        <v>1546</v>
      </c>
      <c r="E1281" s="3">
        <v>63.830199999999998</v>
      </c>
      <c r="F1281" s="3">
        <v>20.290099999999999</v>
      </c>
      <c r="G1281" s="9">
        <v>10</v>
      </c>
      <c r="H1281" s="9"/>
      <c r="I1281" s="6" t="s">
        <v>8</v>
      </c>
      <c r="J1281" s="21" t="s">
        <v>8</v>
      </c>
      <c r="K1281" s="3" t="s">
        <v>5</v>
      </c>
      <c r="L1281" s="5" t="s">
        <v>2680</v>
      </c>
      <c r="M1281" s="7" t="s">
        <v>717</v>
      </c>
      <c r="N1281" s="19" t="s">
        <v>2476</v>
      </c>
      <c r="O1281" s="22"/>
      <c r="P1281" s="19" t="s">
        <v>160</v>
      </c>
      <c r="Q1281" s="19"/>
      <c r="R1281" s="19"/>
      <c r="S1281" s="19"/>
      <c r="T1281" s="19"/>
      <c r="U1281" s="19"/>
      <c r="V1281" s="19"/>
      <c r="W1281" s="19"/>
      <c r="X1281" s="19"/>
      <c r="Y1281" s="19"/>
      <c r="Z1281" s="19"/>
      <c r="AA1281" s="19"/>
      <c r="AB1281" s="19"/>
      <c r="AC1281" s="19"/>
      <c r="AD1281" s="19"/>
      <c r="AE1281" s="19"/>
      <c r="AF1281" s="19"/>
      <c r="AG1281" s="19"/>
      <c r="AH1281" s="19"/>
      <c r="AI1281" s="19"/>
      <c r="AJ1281" s="19"/>
      <c r="AK1281" s="19"/>
      <c r="AL1281" s="19"/>
      <c r="AM1281" s="19"/>
      <c r="AN1281" s="19"/>
      <c r="AO1281" s="19"/>
      <c r="AP1281" s="19"/>
      <c r="AQ1281" s="19"/>
      <c r="AR1281" s="19" t="s">
        <v>160</v>
      </c>
      <c r="AS1281" s="19"/>
      <c r="AT1281" s="19" t="s">
        <v>160</v>
      </c>
      <c r="AU1281" s="19"/>
      <c r="AV1281" s="19" t="s">
        <v>160</v>
      </c>
      <c r="AW1281" s="19"/>
      <c r="AX1281" s="19" t="s">
        <v>160</v>
      </c>
      <c r="AY1281" s="19"/>
      <c r="AZ1281" s="19" t="s">
        <v>160</v>
      </c>
      <c r="BA1281" s="19"/>
      <c r="BB1281" s="19"/>
      <c r="BC1281" s="19"/>
      <c r="BD1281" s="19"/>
      <c r="BE1281" s="19"/>
    </row>
    <row r="1282" spans="1:57" x14ac:dyDescent="0.25">
      <c r="A1282" s="6" t="s">
        <v>8</v>
      </c>
      <c r="B1282" s="9">
        <v>140480</v>
      </c>
      <c r="C1282" s="9" t="s">
        <v>2452</v>
      </c>
      <c r="D1282" s="9" t="s">
        <v>1547</v>
      </c>
      <c r="E1282" s="3">
        <v>63.794699999999999</v>
      </c>
      <c r="F1282" s="3">
        <v>20.291799999999999</v>
      </c>
      <c r="G1282" s="9">
        <v>14</v>
      </c>
      <c r="H1282" s="9" t="s">
        <v>150</v>
      </c>
      <c r="I1282" s="21" t="s">
        <v>8</v>
      </c>
      <c r="J1282" s="21" t="s">
        <v>8</v>
      </c>
      <c r="K1282" s="3" t="s">
        <v>5</v>
      </c>
      <c r="L1282" s="5" t="s">
        <v>2680</v>
      </c>
      <c r="M1282" s="7" t="s">
        <v>2653</v>
      </c>
      <c r="N1282" s="19" t="s">
        <v>1132</v>
      </c>
      <c r="O1282" s="22"/>
      <c r="P1282" s="19" t="s">
        <v>160</v>
      </c>
      <c r="AR1282" s="19" t="s">
        <v>160</v>
      </c>
      <c r="AS1282" s="19" t="s">
        <v>160</v>
      </c>
      <c r="AT1282" s="19" t="s">
        <v>160</v>
      </c>
      <c r="AU1282" s="19" t="s">
        <v>160</v>
      </c>
      <c r="AV1282" s="19" t="s">
        <v>160</v>
      </c>
      <c r="AW1282" s="19" t="s">
        <v>160</v>
      </c>
      <c r="AX1282" s="19" t="s">
        <v>160</v>
      </c>
      <c r="AY1282" s="19" t="s">
        <v>160</v>
      </c>
      <c r="AZ1282" s="19" t="s">
        <v>160</v>
      </c>
      <c r="BA1282" s="19" t="s">
        <v>160</v>
      </c>
      <c r="BB1282" s="19"/>
      <c r="BC1282" s="19"/>
      <c r="BD1282" s="19"/>
      <c r="BE1282" s="19"/>
    </row>
    <row r="1283" spans="1:57" s="7" customFormat="1" x14ac:dyDescent="0.25">
      <c r="A1283" s="6" t="s">
        <v>8</v>
      </c>
      <c r="B1283" s="9">
        <v>108170</v>
      </c>
      <c r="C1283" s="9" t="s">
        <v>2287</v>
      </c>
      <c r="D1283" s="9" t="s">
        <v>1548</v>
      </c>
      <c r="E1283" s="3">
        <v>60.2761</v>
      </c>
      <c r="F1283" s="3">
        <v>18.922699999999999</v>
      </c>
      <c r="G1283" s="9">
        <v>12</v>
      </c>
      <c r="H1283" s="9" t="s">
        <v>150</v>
      </c>
      <c r="I1283" s="6" t="s">
        <v>8</v>
      </c>
      <c r="J1283" s="21" t="s">
        <v>8</v>
      </c>
      <c r="K1283" s="3" t="s">
        <v>5</v>
      </c>
      <c r="L1283" s="5" t="s">
        <v>2680</v>
      </c>
      <c r="M1283" s="7" t="s">
        <v>717</v>
      </c>
      <c r="N1283" s="19" t="s">
        <v>2544</v>
      </c>
      <c r="O1283" s="22"/>
      <c r="P1283" s="19" t="s">
        <v>160</v>
      </c>
      <c r="Q1283" s="19"/>
      <c r="R1283" s="19"/>
      <c r="S1283" s="19"/>
      <c r="T1283" s="19"/>
      <c r="U1283" s="19"/>
      <c r="V1283" s="19"/>
      <c r="W1283" s="19"/>
      <c r="X1283" s="19"/>
      <c r="Y1283" s="19"/>
      <c r="Z1283" s="19"/>
      <c r="AA1283" s="19"/>
      <c r="AB1283" s="19"/>
      <c r="AC1283" s="19"/>
      <c r="AD1283" s="19"/>
      <c r="AE1283" s="19"/>
      <c r="AF1283" s="19"/>
      <c r="AG1283" s="19"/>
      <c r="AH1283" s="19"/>
      <c r="AI1283" s="19"/>
      <c r="AJ1283" s="19"/>
      <c r="AK1283" s="19"/>
      <c r="AL1283" s="19"/>
      <c r="AM1283" s="19"/>
      <c r="AN1283" s="19"/>
      <c r="AO1283" s="19"/>
      <c r="AP1283" s="19"/>
      <c r="AQ1283" s="19"/>
      <c r="AR1283" s="19" t="s">
        <v>160</v>
      </c>
      <c r="AS1283" s="19"/>
      <c r="AT1283" s="19" t="s">
        <v>160</v>
      </c>
      <c r="AU1283" s="19"/>
      <c r="AV1283" s="19" t="s">
        <v>160</v>
      </c>
      <c r="AW1283" s="19"/>
      <c r="AX1283" s="19" t="s">
        <v>160</v>
      </c>
      <c r="AY1283" s="19"/>
      <c r="AZ1283" s="19" t="s">
        <v>160</v>
      </c>
      <c r="BA1283" s="19"/>
      <c r="BB1283" s="19"/>
      <c r="BC1283" s="19"/>
      <c r="BD1283" s="19"/>
      <c r="BE1283" s="19"/>
    </row>
    <row r="1284" spans="1:57" s="7" customFormat="1" x14ac:dyDescent="0.25">
      <c r="A1284" s="9" t="s">
        <v>8</v>
      </c>
      <c r="B1284" s="9">
        <v>33038</v>
      </c>
      <c r="C1284" s="9" t="s">
        <v>1712</v>
      </c>
      <c r="D1284" s="9" t="s">
        <v>1711</v>
      </c>
      <c r="E1284" s="3">
        <v>60.271500000000003</v>
      </c>
      <c r="F1284" s="3">
        <v>18.930199999999999</v>
      </c>
      <c r="G1284" s="3"/>
      <c r="H1284" s="9" t="s">
        <v>150</v>
      </c>
      <c r="I1284" s="7" t="s">
        <v>8</v>
      </c>
      <c r="J1284" s="7" t="s">
        <v>8</v>
      </c>
      <c r="K1284" s="6" t="s">
        <v>951</v>
      </c>
      <c r="L1284" s="7" t="s">
        <v>2033</v>
      </c>
      <c r="M1284" s="5" t="s">
        <v>2653</v>
      </c>
      <c r="N1284" s="19" t="s">
        <v>1115</v>
      </c>
      <c r="O1284" s="22"/>
      <c r="P1284" s="19" t="s">
        <v>160</v>
      </c>
      <c r="Q1284" s="19"/>
      <c r="R1284" s="19"/>
      <c r="S1284" s="19" t="s">
        <v>160</v>
      </c>
      <c r="T1284" s="19" t="s">
        <v>160</v>
      </c>
      <c r="U1284" s="19"/>
      <c r="W1284" s="19"/>
      <c r="X1284" s="19" t="s">
        <v>160</v>
      </c>
      <c r="Y1284" s="5" t="s">
        <v>160</v>
      </c>
      <c r="Z1284" s="19" t="s">
        <v>160</v>
      </c>
      <c r="AA1284" s="19" t="s">
        <v>160</v>
      </c>
      <c r="AB1284" s="19" t="s">
        <v>160</v>
      </c>
      <c r="AC1284" s="19" t="s">
        <v>160</v>
      </c>
      <c r="AD1284" s="19"/>
      <c r="AE1284" s="19"/>
      <c r="AF1284" s="19"/>
      <c r="AG1284" s="19"/>
      <c r="AH1284" s="19"/>
      <c r="AI1284" s="19"/>
      <c r="AJ1284" s="19"/>
      <c r="AK1284" s="19"/>
      <c r="AL1284" s="19"/>
      <c r="AM1284" s="19"/>
      <c r="AN1284" s="19"/>
      <c r="AO1284" s="19"/>
      <c r="AP1284" s="19"/>
      <c r="AQ1284" s="19"/>
      <c r="AR1284" s="19"/>
      <c r="AS1284" s="19"/>
      <c r="AT1284" s="19"/>
      <c r="AU1284" s="19"/>
      <c r="AV1284" s="19"/>
      <c r="AW1284" s="19"/>
      <c r="AX1284" s="19"/>
      <c r="AY1284" s="19"/>
      <c r="AZ1284" s="19"/>
      <c r="BA1284" s="19"/>
      <c r="BB1284" s="19"/>
      <c r="BC1284" s="19"/>
      <c r="BD1284" s="19"/>
      <c r="BE1284" s="19"/>
    </row>
    <row r="1285" spans="1:57" s="7" customFormat="1" x14ac:dyDescent="0.25">
      <c r="A1285" s="6" t="s">
        <v>8</v>
      </c>
      <c r="B1285" s="9">
        <v>65020</v>
      </c>
      <c r="C1285" s="9" t="s">
        <v>2420</v>
      </c>
      <c r="D1285" s="9" t="s">
        <v>1549</v>
      </c>
      <c r="E1285" s="3">
        <v>56.041899999999998</v>
      </c>
      <c r="F1285" s="3">
        <v>15.8081</v>
      </c>
      <c r="G1285" s="9">
        <v>2</v>
      </c>
      <c r="H1285" s="9" t="s">
        <v>150</v>
      </c>
      <c r="I1285" s="6" t="s">
        <v>8</v>
      </c>
      <c r="J1285" s="21" t="s">
        <v>8</v>
      </c>
      <c r="K1285" s="3" t="s">
        <v>5</v>
      </c>
      <c r="L1285" s="5" t="s">
        <v>2680</v>
      </c>
      <c r="M1285" s="7" t="s">
        <v>717</v>
      </c>
      <c r="N1285" s="19" t="s">
        <v>2545</v>
      </c>
      <c r="O1285" s="22"/>
      <c r="P1285" s="19" t="s">
        <v>160</v>
      </c>
      <c r="Q1285" s="19"/>
      <c r="R1285" s="19"/>
      <c r="S1285" s="19"/>
      <c r="T1285" s="19"/>
      <c r="U1285" s="19"/>
      <c r="V1285" s="19"/>
      <c r="W1285" s="19"/>
      <c r="X1285" s="19"/>
      <c r="Y1285" s="19"/>
      <c r="Z1285" s="19"/>
      <c r="AA1285" s="19"/>
      <c r="AB1285" s="19"/>
      <c r="AC1285" s="19"/>
      <c r="AD1285" s="19"/>
      <c r="AE1285" s="19"/>
      <c r="AF1285" s="19"/>
      <c r="AG1285" s="19"/>
      <c r="AH1285" s="19"/>
      <c r="AI1285" s="19"/>
      <c r="AJ1285" s="19"/>
      <c r="AK1285" s="19"/>
      <c r="AL1285" s="19"/>
      <c r="AM1285" s="19"/>
      <c r="AN1285" s="19"/>
      <c r="AO1285" s="19"/>
      <c r="AP1285" s="19"/>
      <c r="AQ1285" s="19"/>
      <c r="AR1285" s="19" t="s">
        <v>160</v>
      </c>
      <c r="AS1285" s="19"/>
      <c r="AT1285" s="19" t="s">
        <v>160</v>
      </c>
      <c r="AU1285" s="19"/>
      <c r="AV1285" s="19" t="s">
        <v>160</v>
      </c>
      <c r="AW1285" s="19"/>
      <c r="AX1285" s="19" t="s">
        <v>160</v>
      </c>
      <c r="AY1285" s="19"/>
      <c r="AZ1285" s="19" t="s">
        <v>160</v>
      </c>
      <c r="BA1285" s="19"/>
      <c r="BB1285" s="19"/>
      <c r="BC1285" s="19"/>
      <c r="BD1285" s="19"/>
      <c r="BE1285" s="19"/>
    </row>
    <row r="1286" spans="1:57" x14ac:dyDescent="0.25">
      <c r="A1286" s="6" t="s">
        <v>8</v>
      </c>
      <c r="B1286" s="27">
        <v>38054</v>
      </c>
      <c r="C1286" s="28" t="s">
        <v>2349</v>
      </c>
      <c r="D1286" s="31" t="s">
        <v>2349</v>
      </c>
      <c r="E1286" s="3" t="s">
        <v>16</v>
      </c>
      <c r="F1286" s="3" t="s">
        <v>16</v>
      </c>
      <c r="H1286" s="9" t="s">
        <v>150</v>
      </c>
      <c r="I1286" s="21" t="s">
        <v>2350</v>
      </c>
      <c r="J1286" s="21" t="s">
        <v>8</v>
      </c>
      <c r="K1286" s="3" t="s">
        <v>124</v>
      </c>
      <c r="M1286" s="5" t="s">
        <v>2653</v>
      </c>
      <c r="N1286" s="19" t="s">
        <v>1696</v>
      </c>
      <c r="O1286" s="22"/>
      <c r="P1286" s="19" t="s">
        <v>160</v>
      </c>
      <c r="S1286" s="19" t="s">
        <v>160</v>
      </c>
      <c r="T1286" s="19" t="s">
        <v>160</v>
      </c>
      <c r="V1286" s="7"/>
      <c r="X1286" s="19" t="s">
        <v>160</v>
      </c>
      <c r="Y1286" s="5" t="s">
        <v>160</v>
      </c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19" t="s">
        <v>160</v>
      </c>
      <c r="AM1286" s="19" t="s">
        <v>160</v>
      </c>
      <c r="BB1286" s="19"/>
      <c r="BC1286" s="19"/>
      <c r="BD1286" s="19"/>
      <c r="BE1286" s="19"/>
    </row>
    <row r="1287" spans="1:57" x14ac:dyDescent="0.25">
      <c r="A1287" s="9" t="s">
        <v>8</v>
      </c>
      <c r="B1287" s="26">
        <v>35009</v>
      </c>
      <c r="C1287" s="24" t="s">
        <v>1041</v>
      </c>
      <c r="D1287" t="s">
        <v>1042</v>
      </c>
      <c r="E1287" s="25">
        <f>55+57/60</f>
        <v>55.95</v>
      </c>
      <c r="F1287" s="25">
        <f>15+42/60</f>
        <v>15.7</v>
      </c>
      <c r="G1287" s="9"/>
      <c r="H1287" s="9" t="s">
        <v>150</v>
      </c>
      <c r="I1287" s="9" t="s">
        <v>8</v>
      </c>
      <c r="J1287" s="7" t="s">
        <v>8</v>
      </c>
      <c r="K1287" s="10" t="s">
        <v>951</v>
      </c>
      <c r="L1287" s="7" t="s">
        <v>2684</v>
      </c>
      <c r="M1287" s="7" t="s">
        <v>717</v>
      </c>
      <c r="N1287" s="42" t="s">
        <v>1330</v>
      </c>
      <c r="O1287" s="22"/>
      <c r="P1287" s="42" t="s">
        <v>160</v>
      </c>
      <c r="S1287" s="19" t="s">
        <v>160</v>
      </c>
      <c r="T1287" s="19" t="s">
        <v>160</v>
      </c>
      <c r="U1287" s="42"/>
      <c r="X1287" s="19" t="s">
        <v>160</v>
      </c>
      <c r="Z1287" s="19" t="s">
        <v>160</v>
      </c>
      <c r="AL1287" s="19" t="s">
        <v>160</v>
      </c>
      <c r="AR1287" s="19" t="s">
        <v>160</v>
      </c>
      <c r="AT1287" s="19" t="s">
        <v>160</v>
      </c>
      <c r="AV1287" s="19" t="s">
        <v>160</v>
      </c>
      <c r="BB1287" s="19"/>
      <c r="BC1287" s="19"/>
      <c r="BD1287" s="19"/>
      <c r="BE1287" s="19"/>
    </row>
    <row r="1288" spans="1:57" s="94" customFormat="1" x14ac:dyDescent="0.25">
      <c r="A1288" s="98" t="s">
        <v>2773</v>
      </c>
      <c r="B1288" s="135">
        <v>2513</v>
      </c>
      <c r="C1288" s="98" t="s">
        <v>2262</v>
      </c>
      <c r="D1288" s="98" t="s">
        <v>1041</v>
      </c>
      <c r="E1288" s="189">
        <f>55+57/60</f>
        <v>55.95</v>
      </c>
      <c r="F1288" s="189">
        <f>15+42/60</f>
        <v>15.7</v>
      </c>
      <c r="G1288" s="101"/>
      <c r="H1288" s="98" t="s">
        <v>150</v>
      </c>
      <c r="I1288" s="98" t="s">
        <v>8</v>
      </c>
      <c r="J1288" s="102" t="s">
        <v>8</v>
      </c>
      <c r="K1288" s="98" t="s">
        <v>6</v>
      </c>
      <c r="L1288" s="102" t="s">
        <v>2030</v>
      </c>
      <c r="M1288" s="102" t="s">
        <v>717</v>
      </c>
      <c r="N1288" s="104" t="s">
        <v>1309</v>
      </c>
      <c r="O1288" s="104"/>
      <c r="P1288" s="104"/>
      <c r="Q1288" s="103" t="s">
        <v>1630</v>
      </c>
      <c r="R1288" s="103"/>
      <c r="S1288" s="103"/>
      <c r="T1288" s="103"/>
      <c r="U1288" s="104">
        <v>4</v>
      </c>
      <c r="V1288" s="103" t="s">
        <v>160</v>
      </c>
      <c r="W1288" s="103"/>
      <c r="X1288" s="103"/>
      <c r="Y1288" s="103"/>
      <c r="Z1288" s="103"/>
      <c r="AA1288" s="103"/>
      <c r="AB1288" s="103"/>
      <c r="AC1288" s="103"/>
      <c r="AD1288" s="103"/>
      <c r="AE1288" s="103"/>
      <c r="AF1288" s="103"/>
      <c r="AG1288" s="103"/>
      <c r="AH1288" s="103"/>
      <c r="AI1288" s="103"/>
      <c r="AJ1288" s="103"/>
      <c r="AK1288" s="103"/>
      <c r="AL1288" s="103"/>
      <c r="AM1288" s="103"/>
      <c r="AN1288" s="103"/>
      <c r="AO1288" s="103"/>
      <c r="AP1288" s="103"/>
      <c r="AQ1288" s="103"/>
      <c r="AR1288" s="103"/>
      <c r="AS1288" s="103"/>
      <c r="AT1288" s="103"/>
      <c r="AU1288" s="103"/>
      <c r="AV1288" s="103"/>
      <c r="AW1288" s="103"/>
      <c r="AX1288" s="103"/>
      <c r="AY1288" s="103"/>
      <c r="AZ1288" s="103"/>
      <c r="BA1288" s="103"/>
      <c r="BB1288" s="103"/>
      <c r="BC1288" s="103"/>
      <c r="BD1288" s="103"/>
      <c r="BE1288" s="103"/>
    </row>
    <row r="1289" spans="1:57" x14ac:dyDescent="0.25">
      <c r="A1289" s="10" t="s">
        <v>8</v>
      </c>
      <c r="B1289" s="155">
        <v>2513</v>
      </c>
      <c r="C1289" s="10" t="s">
        <v>2262</v>
      </c>
      <c r="D1289" s="10" t="s">
        <v>1041</v>
      </c>
      <c r="E1289" s="195">
        <v>55.95</v>
      </c>
      <c r="F1289" s="195">
        <v>15.7</v>
      </c>
      <c r="G1289" s="30"/>
      <c r="H1289" s="10" t="s">
        <v>150</v>
      </c>
      <c r="I1289" s="10" t="s">
        <v>8</v>
      </c>
      <c r="J1289" s="24" t="s">
        <v>8</v>
      </c>
      <c r="K1289" s="10" t="s">
        <v>6</v>
      </c>
      <c r="L1289" s="24" t="s">
        <v>2030</v>
      </c>
      <c r="M1289" s="24" t="s">
        <v>717</v>
      </c>
      <c r="N1289" s="22" t="s">
        <v>1309</v>
      </c>
      <c r="O1289" s="22"/>
      <c r="P1289" s="22"/>
      <c r="Q1289" s="20" t="s">
        <v>1630</v>
      </c>
      <c r="R1289" s="20"/>
      <c r="S1289" s="20"/>
      <c r="T1289" s="20"/>
      <c r="U1289" s="22">
        <v>4</v>
      </c>
      <c r="V1289" s="20" t="s">
        <v>160</v>
      </c>
      <c r="W1289" s="20"/>
      <c r="X1289" s="20"/>
      <c r="Y1289" s="20"/>
      <c r="Z1289" s="20"/>
      <c r="AA1289" s="20"/>
      <c r="AB1289" s="20"/>
      <c r="AC1289" s="20"/>
      <c r="AD1289" s="20"/>
      <c r="AE1289" s="20"/>
      <c r="AF1289" s="20"/>
      <c r="AG1289" s="20"/>
      <c r="AH1289" s="20"/>
      <c r="AI1289" s="20"/>
      <c r="AJ1289" s="20"/>
      <c r="AK1289" s="20"/>
      <c r="AL1289" s="20"/>
      <c r="AM1289" s="20"/>
      <c r="AN1289" s="20"/>
      <c r="AO1289" s="20"/>
      <c r="AP1289" s="20"/>
      <c r="AQ1289" s="20"/>
      <c r="AR1289" s="20"/>
      <c r="AS1289" s="20"/>
      <c r="AT1289" s="20"/>
      <c r="AU1289" s="20"/>
      <c r="AV1289" s="20"/>
      <c r="AW1289" s="20"/>
      <c r="AX1289" s="20"/>
      <c r="AY1289" s="20"/>
      <c r="AZ1289" s="20"/>
      <c r="BA1289" s="20"/>
      <c r="BB1289" s="20"/>
      <c r="BC1289" s="20"/>
      <c r="BD1289" s="20"/>
      <c r="BE1289" s="20"/>
    </row>
    <row r="1290" spans="1:57" x14ac:dyDescent="0.25">
      <c r="A1290" s="6" t="s">
        <v>8</v>
      </c>
      <c r="B1290" s="9">
        <v>55570</v>
      </c>
      <c r="C1290" s="9" t="s">
        <v>2263</v>
      </c>
      <c r="D1290" s="9" t="s">
        <v>1041</v>
      </c>
      <c r="E1290" s="3">
        <v>55.95</v>
      </c>
      <c r="F1290" s="3">
        <v>15.7</v>
      </c>
      <c r="G1290" s="9">
        <v>6</v>
      </c>
      <c r="H1290" s="9" t="s">
        <v>150</v>
      </c>
      <c r="I1290" s="6" t="s">
        <v>8</v>
      </c>
      <c r="J1290" s="21" t="s">
        <v>8</v>
      </c>
      <c r="K1290" s="3" t="s">
        <v>5</v>
      </c>
      <c r="L1290" s="5" t="s">
        <v>2053</v>
      </c>
      <c r="M1290" s="7" t="s">
        <v>717</v>
      </c>
      <c r="N1290" s="19" t="s">
        <v>2502</v>
      </c>
      <c r="O1290" s="22"/>
      <c r="P1290" s="19" t="s">
        <v>160</v>
      </c>
      <c r="AR1290" s="29"/>
      <c r="AS1290" s="29"/>
      <c r="AT1290" s="29"/>
      <c r="AU1290" s="29"/>
      <c r="AV1290" s="29" t="s">
        <v>160</v>
      </c>
      <c r="AZ1290" s="19" t="s">
        <v>160</v>
      </c>
      <c r="BB1290" s="19"/>
      <c r="BC1290" s="19"/>
      <c r="BD1290" s="19"/>
      <c r="BE1290" s="19"/>
    </row>
    <row r="1291" spans="1:57" s="33" customFormat="1" x14ac:dyDescent="0.25">
      <c r="A1291" s="32" t="s">
        <v>707</v>
      </c>
      <c r="C1291" s="33" t="s">
        <v>1550</v>
      </c>
      <c r="D1291" s="33" t="s">
        <v>2725</v>
      </c>
      <c r="E1291" s="35"/>
      <c r="F1291" s="35"/>
      <c r="H1291" s="33" t="s">
        <v>150</v>
      </c>
      <c r="I1291" s="21" t="s">
        <v>8</v>
      </c>
      <c r="J1291" s="32" t="s">
        <v>8</v>
      </c>
      <c r="K1291" s="35" t="s">
        <v>5</v>
      </c>
      <c r="L1291" s="35" t="s">
        <v>2043</v>
      </c>
      <c r="M1291" s="33" t="s">
        <v>2653</v>
      </c>
      <c r="N1291" s="37" t="s">
        <v>2502</v>
      </c>
      <c r="O1291" s="67"/>
      <c r="P1291" s="37" t="s">
        <v>160</v>
      </c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37"/>
      <c r="AE1291" s="37"/>
      <c r="AF1291" s="37"/>
      <c r="AG1291" s="37"/>
      <c r="AH1291" s="37"/>
      <c r="AI1291" s="37"/>
      <c r="AJ1291" s="37"/>
      <c r="AK1291" s="37"/>
      <c r="AL1291" s="37"/>
      <c r="AM1291" s="37"/>
      <c r="AN1291" s="37"/>
      <c r="AO1291" s="37"/>
      <c r="AP1291" s="37"/>
      <c r="AQ1291" s="37"/>
      <c r="AR1291" s="37" t="s">
        <v>160</v>
      </c>
      <c r="AS1291" s="37" t="s">
        <v>160</v>
      </c>
      <c r="AT1291" s="37"/>
      <c r="AU1291" s="37"/>
      <c r="AV1291" s="37"/>
      <c r="AW1291" s="37"/>
      <c r="AX1291" s="37"/>
      <c r="AY1291" s="37"/>
      <c r="AZ1291" s="37"/>
      <c r="BA1291" s="37"/>
      <c r="BB1291" s="37"/>
      <c r="BC1291" s="37"/>
      <c r="BD1291" s="37"/>
      <c r="BE1291" s="37"/>
    </row>
    <row r="1292" spans="1:57" x14ac:dyDescent="0.25">
      <c r="A1292" s="6" t="s">
        <v>8</v>
      </c>
      <c r="B1292" s="9">
        <v>55570</v>
      </c>
      <c r="C1292" s="9" t="s">
        <v>1550</v>
      </c>
      <c r="D1292" s="9" t="s">
        <v>1551</v>
      </c>
      <c r="E1292" s="3">
        <v>55.9557</v>
      </c>
      <c r="F1292" s="3">
        <v>15.704800000000001</v>
      </c>
      <c r="G1292" s="9">
        <v>2.391</v>
      </c>
      <c r="H1292" s="9" t="s">
        <v>150</v>
      </c>
      <c r="I1292" s="21" t="s">
        <v>8</v>
      </c>
      <c r="J1292" s="21" t="s">
        <v>8</v>
      </c>
      <c r="K1292" s="3" t="s">
        <v>5</v>
      </c>
      <c r="L1292" s="5" t="s">
        <v>2693</v>
      </c>
      <c r="M1292" s="7" t="s">
        <v>2653</v>
      </c>
      <c r="N1292" s="19" t="s">
        <v>2502</v>
      </c>
      <c r="O1292" s="22"/>
      <c r="P1292" s="19" t="s">
        <v>160</v>
      </c>
      <c r="AR1292" s="19" t="s">
        <v>160</v>
      </c>
      <c r="AS1292" s="19" t="s">
        <v>160</v>
      </c>
      <c r="AT1292" s="19" t="s">
        <v>160</v>
      </c>
      <c r="AU1292" s="19" t="s">
        <v>160</v>
      </c>
      <c r="AX1292" s="19" t="s">
        <v>160</v>
      </c>
      <c r="AY1292" s="19" t="s">
        <v>160</v>
      </c>
      <c r="BB1292" s="19"/>
      <c r="BC1292" s="19"/>
      <c r="BD1292" s="19"/>
      <c r="BE1292" s="19"/>
    </row>
    <row r="1293" spans="1:57" x14ac:dyDescent="0.25">
      <c r="A1293" s="6" t="s">
        <v>706</v>
      </c>
      <c r="B1293" s="9">
        <v>205</v>
      </c>
      <c r="C1293" s="9" t="s">
        <v>1550</v>
      </c>
      <c r="D1293" s="62" t="s">
        <v>2726</v>
      </c>
      <c r="E1293" s="3">
        <f>55+57/60+21/3600</f>
        <v>55.955833333333338</v>
      </c>
      <c r="F1293" s="3">
        <f>15+42/60+17/3600</f>
        <v>15.704722222222221</v>
      </c>
      <c r="G1293" s="9"/>
      <c r="H1293" s="9" t="s">
        <v>150</v>
      </c>
      <c r="I1293" s="21" t="s">
        <v>8</v>
      </c>
      <c r="J1293" s="21" t="s">
        <v>8</v>
      </c>
      <c r="K1293" s="3" t="s">
        <v>5</v>
      </c>
      <c r="L1293" s="5" t="s">
        <v>2043</v>
      </c>
      <c r="M1293" s="7" t="s">
        <v>2653</v>
      </c>
      <c r="N1293" s="19" t="s">
        <v>2502</v>
      </c>
      <c r="O1293" s="22"/>
      <c r="P1293" s="19" t="s">
        <v>160</v>
      </c>
      <c r="AR1293" s="19" t="s">
        <v>160</v>
      </c>
      <c r="AS1293" s="19" t="s">
        <v>160</v>
      </c>
      <c r="BB1293" s="19"/>
      <c r="BC1293" s="19"/>
      <c r="BD1293" s="19"/>
      <c r="BE1293" s="19"/>
    </row>
    <row r="1294" spans="1:57" x14ac:dyDescent="0.25">
      <c r="A1294" s="6" t="s">
        <v>8</v>
      </c>
      <c r="B1294" s="9">
        <v>88570</v>
      </c>
      <c r="C1294" s="9" t="s">
        <v>2421</v>
      </c>
      <c r="D1294" s="9" t="s">
        <v>1552</v>
      </c>
      <c r="E1294" s="3">
        <v>58.950200000000002</v>
      </c>
      <c r="F1294" s="3">
        <v>18.2669</v>
      </c>
      <c r="G1294" s="9">
        <v>40</v>
      </c>
      <c r="H1294" s="9" t="s">
        <v>150</v>
      </c>
      <c r="I1294" s="6" t="s">
        <v>8</v>
      </c>
      <c r="J1294" s="21" t="s">
        <v>8</v>
      </c>
      <c r="K1294" s="3" t="s">
        <v>5</v>
      </c>
      <c r="L1294" s="5" t="s">
        <v>2680</v>
      </c>
      <c r="M1294" s="7" t="s">
        <v>717</v>
      </c>
      <c r="N1294" s="19" t="s">
        <v>1872</v>
      </c>
      <c r="O1294" s="22"/>
      <c r="P1294" s="19" t="s">
        <v>160</v>
      </c>
      <c r="AR1294" s="19" t="s">
        <v>160</v>
      </c>
      <c r="AT1294" s="19" t="s">
        <v>160</v>
      </c>
      <c r="AV1294" s="19" t="s">
        <v>160</v>
      </c>
      <c r="AX1294" s="19" t="s">
        <v>160</v>
      </c>
      <c r="AZ1294" s="19" t="s">
        <v>160</v>
      </c>
      <c r="BB1294" s="19"/>
      <c r="BC1294" s="19"/>
      <c r="BD1294" s="19"/>
      <c r="BE1294" s="19"/>
    </row>
    <row r="1295" spans="1:57" x14ac:dyDescent="0.25">
      <c r="A1295" s="6" t="s">
        <v>8</v>
      </c>
      <c r="B1295" s="9">
        <v>107450</v>
      </c>
      <c r="C1295" s="9" t="s">
        <v>1553</v>
      </c>
      <c r="D1295" s="9" t="s">
        <v>1554</v>
      </c>
      <c r="E1295" s="3">
        <v>60.7547</v>
      </c>
      <c r="F1295" s="3">
        <v>17.357399999999998</v>
      </c>
      <c r="G1295" s="9">
        <v>5</v>
      </c>
      <c r="H1295" s="9" t="s">
        <v>150</v>
      </c>
      <c r="I1295" s="6" t="s">
        <v>8</v>
      </c>
      <c r="J1295" s="21" t="s">
        <v>8</v>
      </c>
      <c r="K1295" s="3" t="s">
        <v>5</v>
      </c>
      <c r="L1295" s="5" t="s">
        <v>2680</v>
      </c>
      <c r="M1295" s="7" t="s">
        <v>717</v>
      </c>
      <c r="N1295" s="19" t="s">
        <v>2546</v>
      </c>
      <c r="O1295" s="22"/>
      <c r="P1295" s="19" t="s">
        <v>160</v>
      </c>
      <c r="AR1295" s="19" t="s">
        <v>160</v>
      </c>
      <c r="AT1295" s="19" t="s">
        <v>160</v>
      </c>
      <c r="AV1295" s="19" t="s">
        <v>160</v>
      </c>
      <c r="AX1295" s="19" t="s">
        <v>160</v>
      </c>
      <c r="AZ1295" s="19" t="s">
        <v>160</v>
      </c>
      <c r="BB1295" s="19"/>
      <c r="BC1295" s="19"/>
      <c r="BD1295" s="19"/>
      <c r="BE1295" s="19"/>
    </row>
    <row r="1296" spans="1:57" x14ac:dyDescent="0.25">
      <c r="A1296" s="6" t="s">
        <v>8</v>
      </c>
      <c r="B1296" s="9">
        <v>98590</v>
      </c>
      <c r="C1296" s="9" t="s">
        <v>2422</v>
      </c>
      <c r="D1296" s="9" t="s">
        <v>1555</v>
      </c>
      <c r="E1296" s="3">
        <v>59.9833</v>
      </c>
      <c r="F1296" s="3">
        <v>18.816600000000001</v>
      </c>
      <c r="G1296" s="9">
        <v>10</v>
      </c>
      <c r="H1296" s="3" t="s">
        <v>150</v>
      </c>
      <c r="I1296" s="6" t="s">
        <v>8</v>
      </c>
      <c r="J1296" s="21" t="s">
        <v>8</v>
      </c>
      <c r="K1296" s="3" t="s">
        <v>5</v>
      </c>
      <c r="L1296" s="5" t="s">
        <v>2028</v>
      </c>
      <c r="M1296" s="5" t="s">
        <v>717</v>
      </c>
      <c r="N1296" s="19" t="s">
        <v>2549</v>
      </c>
      <c r="O1296" s="22"/>
      <c r="P1296" s="19" t="s">
        <v>160</v>
      </c>
      <c r="V1296" s="29"/>
      <c r="W1296" s="29"/>
      <c r="X1296" s="29"/>
      <c r="Y1296" s="29"/>
      <c r="Z1296" s="29"/>
      <c r="AA1296" s="29"/>
      <c r="AB1296" s="29"/>
      <c r="AC1296" s="29"/>
      <c r="AD1296" s="29"/>
      <c r="AE1296" s="29"/>
      <c r="AF1296" s="29"/>
      <c r="AG1296" s="29"/>
      <c r="AH1296" s="29"/>
      <c r="AI1296" s="29"/>
      <c r="AJ1296" s="29"/>
      <c r="AK1296" s="29"/>
      <c r="AL1296" s="29"/>
      <c r="AM1296" s="29"/>
      <c r="AN1296" s="29"/>
      <c r="AO1296" s="29"/>
      <c r="AP1296" s="29"/>
      <c r="AQ1296" s="29"/>
      <c r="AR1296" s="29"/>
      <c r="AS1296" s="29"/>
      <c r="AT1296" s="19" t="s">
        <v>160</v>
      </c>
      <c r="BB1296" s="19"/>
      <c r="BC1296" s="19"/>
      <c r="BD1296" s="19"/>
      <c r="BE1296" s="19"/>
    </row>
    <row r="1297" spans="1:57" x14ac:dyDescent="0.25">
      <c r="A1297" s="9" t="s">
        <v>8</v>
      </c>
      <c r="B1297" s="26">
        <v>33005</v>
      </c>
      <c r="C1297" s="24" t="s">
        <v>992</v>
      </c>
      <c r="D1297" t="s">
        <v>993</v>
      </c>
      <c r="E1297" s="3">
        <f>58+29/60</f>
        <v>58.483333333333334</v>
      </c>
      <c r="F1297" s="3">
        <f>10+56/60</f>
        <v>10.933333333333334</v>
      </c>
      <c r="G1297" s="40"/>
      <c r="H1297" s="9" t="s">
        <v>150</v>
      </c>
      <c r="I1297" s="40" t="s">
        <v>8</v>
      </c>
      <c r="J1297" s="41" t="s">
        <v>8</v>
      </c>
      <c r="K1297" s="40" t="s">
        <v>951</v>
      </c>
      <c r="L1297" s="41" t="s">
        <v>2691</v>
      </c>
      <c r="M1297" s="7" t="s">
        <v>717</v>
      </c>
      <c r="N1297" s="19" t="s">
        <v>1577</v>
      </c>
      <c r="O1297" s="22"/>
      <c r="P1297" s="19" t="s">
        <v>160</v>
      </c>
      <c r="S1297" s="19" t="s">
        <v>160</v>
      </c>
      <c r="T1297" s="19" t="s">
        <v>160</v>
      </c>
      <c r="V1297" s="42"/>
      <c r="W1297" s="42"/>
      <c r="X1297" s="42" t="s">
        <v>160</v>
      </c>
      <c r="Y1297" s="42"/>
      <c r="Z1297" s="42" t="s">
        <v>160</v>
      </c>
      <c r="AA1297" s="42"/>
      <c r="AB1297" s="42"/>
      <c r="AC1297" s="42"/>
      <c r="AD1297" s="42"/>
      <c r="AE1297" s="42"/>
      <c r="AF1297" s="42"/>
      <c r="AG1297" s="42"/>
      <c r="AH1297" s="42"/>
      <c r="AI1297" s="42"/>
      <c r="AJ1297" s="42"/>
      <c r="AK1297" s="42"/>
      <c r="AL1297" s="42" t="s">
        <v>160</v>
      </c>
      <c r="AM1297" s="42"/>
      <c r="AN1297" s="42" t="s">
        <v>160</v>
      </c>
      <c r="AO1297" s="42"/>
      <c r="AP1297" s="42"/>
      <c r="AQ1297" s="42"/>
      <c r="AR1297" s="42" t="s">
        <v>160</v>
      </c>
      <c r="AS1297" s="42"/>
      <c r="AT1297" s="19" t="s">
        <v>160</v>
      </c>
      <c r="AV1297" s="19" t="s">
        <v>160</v>
      </c>
      <c r="AZ1297" s="42"/>
      <c r="BA1297" s="42"/>
      <c r="BB1297" s="42"/>
      <c r="BC1297" s="42"/>
      <c r="BD1297" s="42"/>
      <c r="BE1297" s="42"/>
    </row>
    <row r="1298" spans="1:57" x14ac:dyDescent="0.25">
      <c r="A1298" s="9" t="s">
        <v>8</v>
      </c>
      <c r="B1298" s="26">
        <v>35071</v>
      </c>
      <c r="C1298" s="24" t="s">
        <v>1087</v>
      </c>
      <c r="D1298" s="24" t="s">
        <v>1694</v>
      </c>
      <c r="E1298" s="25">
        <f>58+35/60</f>
        <v>58.583333333333336</v>
      </c>
      <c r="F1298" s="25">
        <f>11+4/60</f>
        <v>11.066666666666666</v>
      </c>
      <c r="G1298" s="9"/>
      <c r="H1298" s="9" t="s">
        <v>150</v>
      </c>
      <c r="I1298" s="9" t="s">
        <v>8</v>
      </c>
      <c r="J1298" s="7" t="s">
        <v>8</v>
      </c>
      <c r="K1298" s="10" t="s">
        <v>951</v>
      </c>
      <c r="L1298" s="7" t="s">
        <v>2050</v>
      </c>
      <c r="M1298" s="7" t="s">
        <v>717</v>
      </c>
      <c r="N1298" s="42" t="s">
        <v>1357</v>
      </c>
      <c r="O1298" s="22"/>
      <c r="P1298" s="42" t="s">
        <v>160</v>
      </c>
      <c r="S1298" s="42" t="s">
        <v>160</v>
      </c>
      <c r="T1298" s="19" t="s">
        <v>160</v>
      </c>
      <c r="U1298" s="42"/>
      <c r="X1298" s="19" t="s">
        <v>160</v>
      </c>
      <c r="AN1298" s="19" t="s">
        <v>160</v>
      </c>
      <c r="BB1298" s="19"/>
      <c r="BC1298" s="19"/>
      <c r="BD1298" s="19"/>
      <c r="BE1298" s="19"/>
    </row>
    <row r="1299" spans="1:57" x14ac:dyDescent="0.25">
      <c r="A1299" s="9" t="s">
        <v>8</v>
      </c>
      <c r="B1299" s="26">
        <v>35072</v>
      </c>
      <c r="C1299" s="24" t="s">
        <v>1088</v>
      </c>
      <c r="D1299" s="24" t="s">
        <v>1695</v>
      </c>
      <c r="E1299" s="25">
        <f>58+32/60</f>
        <v>58.533333333333331</v>
      </c>
      <c r="F1299" s="25">
        <f>10+59/60</f>
        <v>10.983333333333333</v>
      </c>
      <c r="G1299" s="9"/>
      <c r="H1299" s="9" t="s">
        <v>150</v>
      </c>
      <c r="I1299" s="9" t="s">
        <v>8</v>
      </c>
      <c r="J1299" s="7" t="s">
        <v>8</v>
      </c>
      <c r="K1299" s="10" t="s">
        <v>951</v>
      </c>
      <c r="L1299" s="7" t="s">
        <v>2044</v>
      </c>
      <c r="M1299" s="7" t="s">
        <v>717</v>
      </c>
      <c r="N1299" s="42">
        <v>1986</v>
      </c>
      <c r="O1299" s="22"/>
      <c r="P1299" s="42" t="s">
        <v>160</v>
      </c>
      <c r="S1299" s="42" t="s">
        <v>160</v>
      </c>
      <c r="T1299" s="19" t="s">
        <v>160</v>
      </c>
      <c r="U1299" s="42"/>
      <c r="AN1299" s="19" t="s">
        <v>160</v>
      </c>
      <c r="BB1299" s="19"/>
      <c r="BC1299" s="19"/>
      <c r="BD1299" s="19"/>
      <c r="BE1299" s="19"/>
    </row>
    <row r="1300" spans="1:57" x14ac:dyDescent="0.25">
      <c r="A1300" s="9" t="s">
        <v>8</v>
      </c>
      <c r="B1300" s="27">
        <v>37310</v>
      </c>
      <c r="C1300" s="28" t="s">
        <v>1963</v>
      </c>
      <c r="D1300" s="28" t="s">
        <v>993</v>
      </c>
      <c r="E1300" s="25">
        <v>58.533299999999997</v>
      </c>
      <c r="F1300" s="25">
        <v>11</v>
      </c>
      <c r="H1300" s="9" t="s">
        <v>150</v>
      </c>
      <c r="I1300" s="40" t="s">
        <v>8</v>
      </c>
      <c r="J1300" s="41" t="s">
        <v>8</v>
      </c>
      <c r="K1300" s="6" t="s">
        <v>2455</v>
      </c>
      <c r="L1300" s="7" t="s">
        <v>2027</v>
      </c>
      <c r="M1300" s="28" t="s">
        <v>717</v>
      </c>
      <c r="N1300" s="19" t="s">
        <v>1861</v>
      </c>
      <c r="O1300" s="22"/>
      <c r="T1300" s="7"/>
      <c r="X1300" s="19" t="s">
        <v>160</v>
      </c>
      <c r="BA1300" s="7"/>
      <c r="BB1300" s="7"/>
      <c r="BC1300" s="7"/>
      <c r="BD1300" s="7"/>
      <c r="BE1300" s="7"/>
    </row>
    <row r="1301" spans="1:57" s="33" customFormat="1" x14ac:dyDescent="0.25">
      <c r="A1301" s="32" t="s">
        <v>707</v>
      </c>
      <c r="C1301" s="33" t="s">
        <v>1556</v>
      </c>
      <c r="D1301" s="33" t="s">
        <v>2728</v>
      </c>
      <c r="E1301" s="35"/>
      <c r="F1301" s="35"/>
      <c r="H1301" s="33" t="s">
        <v>150</v>
      </c>
      <c r="I1301" s="21" t="s">
        <v>8</v>
      </c>
      <c r="J1301" s="32" t="s">
        <v>8</v>
      </c>
      <c r="K1301" s="35" t="s">
        <v>5</v>
      </c>
      <c r="L1301" s="35" t="s">
        <v>2043</v>
      </c>
      <c r="M1301" s="33" t="s">
        <v>2653</v>
      </c>
      <c r="N1301" s="37" t="s">
        <v>2547</v>
      </c>
      <c r="O1301" s="67"/>
      <c r="P1301" s="37" t="s">
        <v>160</v>
      </c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37"/>
      <c r="AE1301" s="37"/>
      <c r="AF1301" s="37"/>
      <c r="AG1301" s="37"/>
      <c r="AH1301" s="37"/>
      <c r="AI1301" s="37"/>
      <c r="AJ1301" s="37"/>
      <c r="AK1301" s="37"/>
      <c r="AL1301" s="37"/>
      <c r="AM1301" s="37"/>
      <c r="AN1301" s="37"/>
      <c r="AO1301" s="37"/>
      <c r="AP1301" s="37"/>
      <c r="AQ1301" s="37"/>
      <c r="AR1301" s="37" t="s">
        <v>160</v>
      </c>
      <c r="AS1301" s="37" t="s">
        <v>160</v>
      </c>
      <c r="AT1301" s="37"/>
      <c r="AU1301" s="37"/>
      <c r="AV1301" s="37"/>
      <c r="AW1301" s="37"/>
      <c r="AX1301" s="37"/>
      <c r="AY1301" s="37"/>
      <c r="AZ1301" s="37"/>
      <c r="BA1301" s="37"/>
      <c r="BB1301" s="37"/>
      <c r="BC1301" s="37"/>
      <c r="BD1301" s="37"/>
      <c r="BE1301" s="37"/>
    </row>
    <row r="1302" spans="1:57" x14ac:dyDescent="0.25">
      <c r="A1302" s="6" t="s">
        <v>8</v>
      </c>
      <c r="B1302" s="9" t="s">
        <v>2975</v>
      </c>
      <c r="C1302" s="9" t="s">
        <v>1556</v>
      </c>
      <c r="D1302" t="s">
        <v>1557</v>
      </c>
      <c r="E1302" s="5">
        <f>58+34/60+33.6/3600</f>
        <v>58.576000000000001</v>
      </c>
      <c r="F1302" s="5">
        <f>11+3/60+57.96/3600</f>
        <v>11.0661</v>
      </c>
      <c r="G1302" s="9">
        <v>22.356000000000002</v>
      </c>
      <c r="H1302" s="9" t="s">
        <v>150</v>
      </c>
      <c r="I1302" s="21" t="s">
        <v>8</v>
      </c>
      <c r="J1302" s="21" t="s">
        <v>8</v>
      </c>
      <c r="K1302" s="3" t="s">
        <v>5</v>
      </c>
      <c r="L1302" s="5" t="s">
        <v>2695</v>
      </c>
      <c r="M1302" s="7" t="s">
        <v>2653</v>
      </c>
      <c r="N1302" s="19" t="s">
        <v>2547</v>
      </c>
      <c r="O1302" s="22"/>
      <c r="P1302" s="19" t="s">
        <v>160</v>
      </c>
      <c r="AR1302" s="19" t="s">
        <v>160</v>
      </c>
      <c r="AS1302" s="19" t="s">
        <v>160</v>
      </c>
      <c r="AT1302" s="19" t="s">
        <v>160</v>
      </c>
      <c r="AU1302" s="19" t="s">
        <v>160</v>
      </c>
      <c r="AV1302" s="19" t="s">
        <v>160</v>
      </c>
      <c r="AW1302" s="19" t="s">
        <v>160</v>
      </c>
      <c r="AX1302" s="19" t="s">
        <v>160</v>
      </c>
      <c r="AY1302" s="19" t="s">
        <v>160</v>
      </c>
      <c r="BB1302" s="19"/>
      <c r="BC1302" s="19"/>
      <c r="BD1302" s="19"/>
      <c r="BE1302" s="19"/>
    </row>
    <row r="1303" spans="1:57" x14ac:dyDescent="0.25">
      <c r="A1303" s="6" t="s">
        <v>8</v>
      </c>
      <c r="B1303" s="9">
        <v>81350</v>
      </c>
      <c r="C1303" s="9" t="s">
        <v>1556</v>
      </c>
      <c r="D1303" s="9" t="s">
        <v>1557</v>
      </c>
      <c r="E1303" s="5">
        <f>58+34/60+33.6/3600</f>
        <v>58.576000000000001</v>
      </c>
      <c r="F1303" s="5">
        <f>11+3/60+57.96/3600</f>
        <v>11.0661</v>
      </c>
      <c r="G1303" s="9">
        <v>22.356000000000002</v>
      </c>
      <c r="H1303" s="9" t="s">
        <v>150</v>
      </c>
      <c r="I1303" s="21" t="s">
        <v>8</v>
      </c>
      <c r="J1303" s="21" t="s">
        <v>8</v>
      </c>
      <c r="K1303" s="3" t="s">
        <v>5</v>
      </c>
      <c r="L1303" s="5" t="s">
        <v>2695</v>
      </c>
      <c r="M1303" s="7" t="s">
        <v>2653</v>
      </c>
      <c r="N1303" s="19" t="s">
        <v>2547</v>
      </c>
      <c r="O1303" s="22"/>
      <c r="P1303" s="19" t="s">
        <v>160</v>
      </c>
      <c r="AR1303" s="19" t="s">
        <v>160</v>
      </c>
      <c r="AS1303" s="19" t="s">
        <v>160</v>
      </c>
      <c r="AT1303" s="19" t="s">
        <v>160</v>
      </c>
      <c r="AU1303" s="19" t="s">
        <v>160</v>
      </c>
      <c r="AV1303" s="19" t="s">
        <v>160</v>
      </c>
      <c r="AW1303" s="19" t="s">
        <v>160</v>
      </c>
      <c r="AX1303" s="19" t="s">
        <v>160</v>
      </c>
      <c r="AY1303" s="19" t="s">
        <v>160</v>
      </c>
      <c r="BB1303" s="19"/>
      <c r="BC1303" s="19"/>
      <c r="BD1303" s="19"/>
      <c r="BE1303" s="19"/>
    </row>
    <row r="1304" spans="1:57" x14ac:dyDescent="0.25">
      <c r="A1304" s="6" t="s">
        <v>706</v>
      </c>
      <c r="B1304" s="9">
        <v>210</v>
      </c>
      <c r="C1304" s="9" t="s">
        <v>1556</v>
      </c>
      <c r="D1304" s="62" t="s">
        <v>2727</v>
      </c>
      <c r="E1304" s="3">
        <f>58+34/60+34/3600</f>
        <v>58.576111111111118</v>
      </c>
      <c r="F1304" s="3">
        <f>11+3/60+58/3600</f>
        <v>11.066111111111113</v>
      </c>
      <c r="G1304" s="33"/>
      <c r="H1304" s="9" t="s">
        <v>150</v>
      </c>
      <c r="I1304" s="21" t="s">
        <v>8</v>
      </c>
      <c r="J1304" s="21" t="s">
        <v>8</v>
      </c>
      <c r="K1304" s="3" t="s">
        <v>5</v>
      </c>
      <c r="L1304" s="5" t="s">
        <v>2043</v>
      </c>
      <c r="M1304" s="7" t="s">
        <v>2653</v>
      </c>
      <c r="N1304" s="19" t="s">
        <v>2547</v>
      </c>
      <c r="O1304" s="22"/>
      <c r="P1304" s="19" t="s">
        <v>160</v>
      </c>
      <c r="AR1304" s="19" t="s">
        <v>160</v>
      </c>
      <c r="AS1304" s="19" t="s">
        <v>160</v>
      </c>
      <c r="BB1304" s="19"/>
      <c r="BC1304" s="19"/>
      <c r="BD1304" s="19"/>
      <c r="BE1304" s="19"/>
    </row>
    <row r="1305" spans="1:57" x14ac:dyDescent="0.25">
      <c r="A1305" s="6" t="s">
        <v>8</v>
      </c>
      <c r="B1305" s="9">
        <v>81350</v>
      </c>
      <c r="C1305" s="9" t="s">
        <v>1558</v>
      </c>
      <c r="D1305" s="9" t="s">
        <v>1559</v>
      </c>
      <c r="E1305" s="3">
        <v>58.576000000000001</v>
      </c>
      <c r="F1305" s="3">
        <v>11.068199999999999</v>
      </c>
      <c r="G1305" s="9">
        <v>20</v>
      </c>
      <c r="H1305" s="3" t="s">
        <v>150</v>
      </c>
      <c r="I1305" s="6" t="s">
        <v>8</v>
      </c>
      <c r="J1305" s="21" t="s">
        <v>8</v>
      </c>
      <c r="K1305" s="3" t="s">
        <v>5</v>
      </c>
      <c r="L1305" s="5" t="s">
        <v>2041</v>
      </c>
      <c r="M1305" s="5" t="s">
        <v>717</v>
      </c>
      <c r="N1305" s="19" t="s">
        <v>2590</v>
      </c>
      <c r="O1305" s="22"/>
      <c r="P1305" s="19" t="s">
        <v>160</v>
      </c>
      <c r="V1305" s="29"/>
      <c r="W1305" s="29"/>
      <c r="X1305" s="29"/>
      <c r="Y1305" s="29"/>
      <c r="Z1305" s="29"/>
      <c r="AA1305" s="29"/>
      <c r="AB1305" s="29"/>
      <c r="AC1305" s="29"/>
      <c r="AD1305" s="29"/>
      <c r="AE1305" s="29"/>
      <c r="AF1305" s="29"/>
      <c r="AG1305" s="29"/>
      <c r="AH1305" s="29"/>
      <c r="AI1305" s="29"/>
      <c r="AJ1305" s="29"/>
      <c r="AK1305" s="29"/>
      <c r="AL1305" s="29"/>
      <c r="AM1305" s="29"/>
      <c r="AN1305" s="29"/>
      <c r="AO1305" s="29"/>
      <c r="AP1305" s="29"/>
      <c r="AQ1305" s="29"/>
      <c r="AR1305" s="29"/>
      <c r="AS1305" s="29"/>
      <c r="AT1305" s="29"/>
      <c r="AU1305" s="29"/>
      <c r="AV1305" s="29"/>
      <c r="AW1305" s="29"/>
      <c r="AX1305" s="29"/>
      <c r="AY1305" s="29"/>
      <c r="AZ1305" s="19" t="s">
        <v>160</v>
      </c>
      <c r="BB1305" s="19"/>
      <c r="BC1305" s="19"/>
      <c r="BD1305" s="19"/>
      <c r="BE1305" s="19"/>
    </row>
    <row r="1306" spans="1:57" x14ac:dyDescent="0.25">
      <c r="A1306" s="9" t="s">
        <v>707</v>
      </c>
      <c r="B1306" s="39" t="s">
        <v>672</v>
      </c>
      <c r="C1306" s="39" t="s">
        <v>930</v>
      </c>
      <c r="D1306" s="40" t="s">
        <v>673</v>
      </c>
      <c r="E1306" s="46" t="s">
        <v>675</v>
      </c>
      <c r="F1306" s="46" t="s">
        <v>674</v>
      </c>
      <c r="G1306" s="40"/>
      <c r="H1306" s="9" t="s">
        <v>150</v>
      </c>
      <c r="I1306" s="41" t="s">
        <v>8</v>
      </c>
      <c r="J1306" s="41" t="s">
        <v>8</v>
      </c>
      <c r="K1306" s="40" t="s">
        <v>951</v>
      </c>
      <c r="L1306" s="41" t="s">
        <v>2686</v>
      </c>
      <c r="M1306" s="7" t="s">
        <v>2653</v>
      </c>
      <c r="N1306" s="19" t="s">
        <v>1109</v>
      </c>
      <c r="O1306" s="22"/>
      <c r="P1306" s="19" t="s">
        <v>160</v>
      </c>
      <c r="S1306" s="19" t="s">
        <v>160</v>
      </c>
      <c r="T1306" s="19" t="s">
        <v>160</v>
      </c>
      <c r="V1306" s="42"/>
      <c r="W1306" s="42"/>
      <c r="X1306" s="42" t="s">
        <v>160</v>
      </c>
      <c r="Y1306" s="42" t="s">
        <v>160</v>
      </c>
      <c r="Z1306" s="42"/>
      <c r="AA1306" s="42"/>
      <c r="AB1306" s="42"/>
      <c r="AC1306" s="42"/>
      <c r="AD1306" s="42"/>
      <c r="AE1306" s="42"/>
      <c r="AF1306" s="42"/>
      <c r="AG1306" s="42"/>
      <c r="AH1306" s="42"/>
      <c r="AI1306" s="42"/>
      <c r="AJ1306" s="42"/>
      <c r="AK1306" s="42"/>
      <c r="AL1306" s="42"/>
      <c r="AM1306" s="42"/>
      <c r="AN1306" s="42" t="s">
        <v>160</v>
      </c>
      <c r="AO1306" s="42" t="s">
        <v>160</v>
      </c>
      <c r="AP1306" s="42"/>
      <c r="AQ1306" s="42"/>
      <c r="AR1306" s="42"/>
      <c r="AS1306" s="42"/>
      <c r="AT1306" s="19" t="s">
        <v>160</v>
      </c>
      <c r="AU1306" s="19" t="s">
        <v>160</v>
      </c>
      <c r="AZ1306" s="42"/>
      <c r="BA1306" s="42"/>
      <c r="BB1306" s="42"/>
      <c r="BC1306" s="42"/>
      <c r="BD1306" s="42"/>
      <c r="BE1306" s="42"/>
    </row>
    <row r="1307" spans="1:57" s="94" customFormat="1" x14ac:dyDescent="0.25">
      <c r="A1307" s="94" t="s">
        <v>2773</v>
      </c>
      <c r="B1307" s="115" t="s">
        <v>2987</v>
      </c>
      <c r="C1307" s="115" t="s">
        <v>930</v>
      </c>
      <c r="D1307" s="153" t="s">
        <v>2988</v>
      </c>
      <c r="E1307" s="84">
        <f>58+29/60</f>
        <v>58.483333333333334</v>
      </c>
      <c r="F1307" s="84">
        <f>10+56/60</f>
        <v>10.933333333333334</v>
      </c>
      <c r="G1307" s="84"/>
      <c r="H1307" s="94" t="s">
        <v>150</v>
      </c>
      <c r="I1307" s="113" t="s">
        <v>8</v>
      </c>
      <c r="J1307" s="113" t="s">
        <v>8</v>
      </c>
      <c r="K1307" s="112" t="s">
        <v>951</v>
      </c>
      <c r="L1307" s="113" t="s">
        <v>2686</v>
      </c>
      <c r="M1307" s="105" t="s">
        <v>2653</v>
      </c>
      <c r="N1307" s="108" t="s">
        <v>1109</v>
      </c>
      <c r="O1307" s="104"/>
      <c r="P1307" s="108" t="s">
        <v>160</v>
      </c>
      <c r="Q1307" s="108"/>
      <c r="R1307" s="108"/>
      <c r="S1307" s="108" t="s">
        <v>160</v>
      </c>
      <c r="T1307" s="108" t="s">
        <v>160</v>
      </c>
      <c r="U1307" s="108"/>
      <c r="V1307" s="106"/>
      <c r="W1307" s="106"/>
      <c r="X1307" s="106" t="s">
        <v>160</v>
      </c>
      <c r="Y1307" s="106" t="s">
        <v>160</v>
      </c>
      <c r="Z1307" s="106"/>
      <c r="AA1307" s="106"/>
      <c r="AB1307" s="106"/>
      <c r="AC1307" s="106"/>
      <c r="AD1307" s="106"/>
      <c r="AE1307" s="106"/>
      <c r="AF1307" s="106"/>
      <c r="AG1307" s="106"/>
      <c r="AH1307" s="106"/>
      <c r="AI1307" s="106"/>
      <c r="AJ1307" s="106"/>
      <c r="AK1307" s="106"/>
      <c r="AL1307" s="106"/>
      <c r="AM1307" s="106"/>
      <c r="AN1307" s="106" t="s">
        <v>160</v>
      </c>
      <c r="AO1307" s="106" t="s">
        <v>160</v>
      </c>
      <c r="AP1307" s="106"/>
      <c r="AQ1307" s="106"/>
      <c r="AR1307" s="106"/>
      <c r="AS1307" s="106"/>
      <c r="AT1307" s="108" t="s">
        <v>160</v>
      </c>
      <c r="AU1307" s="108" t="s">
        <v>160</v>
      </c>
      <c r="AV1307" s="108"/>
      <c r="AW1307" s="108"/>
      <c r="AX1307" s="108"/>
      <c r="AY1307" s="108"/>
      <c r="AZ1307" s="106"/>
      <c r="BA1307" s="106"/>
      <c r="BB1307" s="106"/>
      <c r="BC1307" s="106"/>
      <c r="BD1307" s="106"/>
      <c r="BE1307" s="106"/>
    </row>
    <row r="1308" spans="1:57" x14ac:dyDescent="0.25">
      <c r="A1308" s="9" t="s">
        <v>8</v>
      </c>
      <c r="B1308" s="39">
        <v>33015</v>
      </c>
      <c r="C1308" s="39" t="s">
        <v>930</v>
      </c>
      <c r="D1308" t="s">
        <v>941</v>
      </c>
      <c r="E1308" s="25">
        <f>58+29/60</f>
        <v>58.483333333333334</v>
      </c>
      <c r="F1308" s="25">
        <f>10+56/60</f>
        <v>10.933333333333334</v>
      </c>
      <c r="G1308" s="25"/>
      <c r="H1308" s="9" t="s">
        <v>150</v>
      </c>
      <c r="I1308" s="41" t="s">
        <v>8</v>
      </c>
      <c r="J1308" s="41" t="s">
        <v>8</v>
      </c>
      <c r="K1308" s="40" t="s">
        <v>951</v>
      </c>
      <c r="L1308" s="41" t="s">
        <v>2686</v>
      </c>
      <c r="M1308" s="7" t="s">
        <v>2653</v>
      </c>
      <c r="N1308" s="19" t="s">
        <v>1109</v>
      </c>
      <c r="O1308" s="22"/>
      <c r="P1308" s="19" t="s">
        <v>160</v>
      </c>
      <c r="S1308" s="19" t="s">
        <v>160</v>
      </c>
      <c r="T1308" s="19" t="s">
        <v>160</v>
      </c>
      <c r="V1308" s="42"/>
      <c r="W1308" s="42"/>
      <c r="X1308" s="42" t="s">
        <v>160</v>
      </c>
      <c r="Y1308" s="42" t="s">
        <v>160</v>
      </c>
      <c r="Z1308" s="42"/>
      <c r="AA1308" s="42"/>
      <c r="AB1308" s="42"/>
      <c r="AC1308" s="42"/>
      <c r="AD1308" s="42"/>
      <c r="AE1308" s="42"/>
      <c r="AF1308" s="42"/>
      <c r="AG1308" s="42"/>
      <c r="AH1308" s="42"/>
      <c r="AI1308" s="42"/>
      <c r="AJ1308" s="42"/>
      <c r="AK1308" s="42"/>
      <c r="AL1308" s="42"/>
      <c r="AM1308" s="42"/>
      <c r="AN1308" s="42" t="s">
        <v>160</v>
      </c>
      <c r="AO1308" s="42" t="s">
        <v>160</v>
      </c>
      <c r="AP1308" s="42"/>
      <c r="AQ1308" s="42"/>
      <c r="AR1308" s="42"/>
      <c r="AS1308" s="42"/>
      <c r="AT1308" s="19" t="s">
        <v>160</v>
      </c>
      <c r="AU1308" s="19" t="s">
        <v>160</v>
      </c>
      <c r="AZ1308" s="42"/>
      <c r="BA1308" s="42"/>
      <c r="BB1308" s="42"/>
      <c r="BC1308" s="42"/>
      <c r="BD1308" s="42"/>
      <c r="BE1308" s="42"/>
    </row>
    <row r="1309" spans="1:57" x14ac:dyDescent="0.25">
      <c r="A1309" s="9" t="s">
        <v>706</v>
      </c>
      <c r="B1309" s="38">
        <v>16</v>
      </c>
      <c r="C1309" s="39" t="s">
        <v>930</v>
      </c>
      <c r="D1309" s="62" t="s">
        <v>136</v>
      </c>
      <c r="E1309" s="3">
        <f>58+29/60+21/3600</f>
        <v>58.489166666666669</v>
      </c>
      <c r="F1309" s="3">
        <f>10+55/60+51/3600</f>
        <v>10.930833333333332</v>
      </c>
      <c r="G1309" s="25"/>
      <c r="H1309" s="9" t="s">
        <v>150</v>
      </c>
      <c r="I1309" s="7" t="s">
        <v>8</v>
      </c>
      <c r="J1309" s="7" t="s">
        <v>8</v>
      </c>
      <c r="K1309" s="9" t="s">
        <v>951</v>
      </c>
      <c r="L1309" s="7" t="s">
        <v>2686</v>
      </c>
      <c r="M1309" s="7" t="s">
        <v>2653</v>
      </c>
      <c r="N1309" s="19" t="s">
        <v>1109</v>
      </c>
      <c r="O1309" s="22"/>
      <c r="P1309" s="19" t="s">
        <v>160</v>
      </c>
      <c r="S1309" s="19" t="s">
        <v>160</v>
      </c>
      <c r="T1309" s="19" t="s">
        <v>160</v>
      </c>
      <c r="X1309" s="19" t="s">
        <v>160</v>
      </c>
      <c r="Y1309" s="19" t="s">
        <v>160</v>
      </c>
      <c r="AN1309" s="19" t="s">
        <v>160</v>
      </c>
      <c r="AO1309" s="19" t="s">
        <v>160</v>
      </c>
      <c r="AT1309" s="19" t="s">
        <v>160</v>
      </c>
      <c r="AU1309" s="19" t="s">
        <v>160</v>
      </c>
      <c r="BB1309" s="19"/>
      <c r="BC1309" s="19"/>
      <c r="BD1309" s="19"/>
      <c r="BE1309" s="19"/>
    </row>
    <row r="1310" spans="1:57" x14ac:dyDescent="0.25">
      <c r="A1310" s="9" t="s">
        <v>8</v>
      </c>
      <c r="B1310" s="26">
        <v>35020</v>
      </c>
      <c r="C1310" s="24" t="s">
        <v>1062</v>
      </c>
      <c r="D1310" t="s">
        <v>1063</v>
      </c>
      <c r="E1310" s="25">
        <f>58+32/60</f>
        <v>58.533333333333331</v>
      </c>
      <c r="F1310" s="25">
        <f>11+2/60</f>
        <v>11.033333333333333</v>
      </c>
      <c r="G1310" s="9"/>
      <c r="H1310" s="9" t="s">
        <v>150</v>
      </c>
      <c r="I1310" s="9" t="s">
        <v>8</v>
      </c>
      <c r="J1310" s="7" t="s">
        <v>8</v>
      </c>
      <c r="K1310" s="10" t="s">
        <v>951</v>
      </c>
      <c r="L1310" s="7" t="s">
        <v>2684</v>
      </c>
      <c r="M1310" s="7" t="s">
        <v>717</v>
      </c>
      <c r="N1310" s="42" t="s">
        <v>1346</v>
      </c>
      <c r="O1310" s="22"/>
      <c r="P1310" s="42"/>
      <c r="S1310" s="19" t="s">
        <v>160</v>
      </c>
      <c r="T1310" s="19" t="s">
        <v>160</v>
      </c>
      <c r="U1310" s="42"/>
      <c r="X1310" s="19" t="s">
        <v>160</v>
      </c>
      <c r="Z1310" s="19" t="s">
        <v>160</v>
      </c>
      <c r="AL1310" s="19" t="s">
        <v>160</v>
      </c>
      <c r="AR1310" s="19" t="s">
        <v>160</v>
      </c>
      <c r="AT1310" s="19" t="s">
        <v>160</v>
      </c>
      <c r="AV1310" s="19" t="s">
        <v>160</v>
      </c>
      <c r="BB1310" s="19"/>
      <c r="BC1310" s="19"/>
      <c r="BD1310" s="19"/>
      <c r="BE1310" s="19"/>
    </row>
    <row r="1311" spans="1:57" x14ac:dyDescent="0.25">
      <c r="A1311" s="6" t="s">
        <v>8</v>
      </c>
      <c r="B1311" s="9">
        <v>81620</v>
      </c>
      <c r="C1311" s="9" t="s">
        <v>2264</v>
      </c>
      <c r="D1311" s="9" t="s">
        <v>1560</v>
      </c>
      <c r="E1311" s="3">
        <v>58.55</v>
      </c>
      <c r="F1311" s="3">
        <v>11.033300000000001</v>
      </c>
      <c r="G1311" s="9">
        <v>7</v>
      </c>
      <c r="H1311" s="9" t="s">
        <v>150</v>
      </c>
      <c r="I1311" s="6" t="s">
        <v>8</v>
      </c>
      <c r="J1311" s="21" t="s">
        <v>8</v>
      </c>
      <c r="K1311" s="3" t="s">
        <v>5</v>
      </c>
      <c r="L1311" s="5" t="s">
        <v>2680</v>
      </c>
      <c r="M1311" s="7" t="s">
        <v>717</v>
      </c>
      <c r="N1311" s="19" t="s">
        <v>2441</v>
      </c>
      <c r="O1311" s="22"/>
      <c r="P1311" s="19" t="s">
        <v>160</v>
      </c>
      <c r="AR1311" s="19" t="s">
        <v>160</v>
      </c>
      <c r="AT1311" s="19" t="s">
        <v>160</v>
      </c>
      <c r="AV1311" s="19" t="s">
        <v>160</v>
      </c>
      <c r="AX1311" s="19" t="s">
        <v>160</v>
      </c>
      <c r="AZ1311" s="19" t="s">
        <v>160</v>
      </c>
      <c r="BB1311" s="19"/>
      <c r="BC1311" s="19"/>
      <c r="BD1311" s="19"/>
      <c r="BE1311" s="19"/>
    </row>
    <row r="1312" spans="1:57" x14ac:dyDescent="0.25">
      <c r="A1312" s="9" t="s">
        <v>8</v>
      </c>
      <c r="B1312" s="27">
        <v>37121</v>
      </c>
      <c r="C1312" s="28" t="s">
        <v>2440</v>
      </c>
      <c r="D1312" s="28" t="s">
        <v>1718</v>
      </c>
      <c r="E1312" s="25">
        <v>63.616700000000002</v>
      </c>
      <c r="F1312" s="25">
        <v>20.433299999999999</v>
      </c>
      <c r="H1312" s="9" t="s">
        <v>150</v>
      </c>
      <c r="I1312" s="40" t="s">
        <v>8</v>
      </c>
      <c r="J1312" s="41" t="s">
        <v>8</v>
      </c>
      <c r="K1312" s="6" t="s">
        <v>2455</v>
      </c>
      <c r="L1312" s="7" t="s">
        <v>2027</v>
      </c>
      <c r="M1312" s="28" t="s">
        <v>717</v>
      </c>
      <c r="N1312" s="19" t="s">
        <v>1538</v>
      </c>
      <c r="O1312" s="22"/>
      <c r="T1312" s="7"/>
      <c r="BA1312" s="7"/>
      <c r="BB1312" s="7"/>
      <c r="BC1312" s="7"/>
      <c r="BD1312" s="7"/>
      <c r="BE1312" s="7"/>
    </row>
    <row r="1313" spans="1:57" x14ac:dyDescent="0.25">
      <c r="A1313" s="6" t="s">
        <v>8</v>
      </c>
      <c r="B1313" s="9">
        <v>86130</v>
      </c>
      <c r="C1313" s="9" t="s">
        <v>2386</v>
      </c>
      <c r="D1313" s="9" t="s">
        <v>1561</v>
      </c>
      <c r="E1313" s="3">
        <v>58.214799999999997</v>
      </c>
      <c r="F1313" s="3">
        <v>16.582799999999999</v>
      </c>
      <c r="G1313" s="9">
        <v>10</v>
      </c>
      <c r="H1313" s="9" t="s">
        <v>150</v>
      </c>
      <c r="I1313" s="6" t="s">
        <v>8</v>
      </c>
      <c r="J1313" s="21" t="s">
        <v>8</v>
      </c>
      <c r="K1313" s="3" t="s">
        <v>5</v>
      </c>
      <c r="L1313" s="5" t="s">
        <v>2695</v>
      </c>
      <c r="M1313" s="7" t="s">
        <v>717</v>
      </c>
      <c r="N1313" s="19" t="s">
        <v>2548</v>
      </c>
      <c r="O1313" s="22"/>
      <c r="P1313" s="19" t="s">
        <v>160</v>
      </c>
      <c r="AR1313" s="19" t="s">
        <v>160</v>
      </c>
      <c r="AT1313" s="19" t="s">
        <v>160</v>
      </c>
      <c r="AV1313" s="19" t="s">
        <v>160</v>
      </c>
      <c r="AX1313" s="19" t="s">
        <v>160</v>
      </c>
      <c r="BB1313" s="19"/>
      <c r="BC1313" s="19"/>
      <c r="BD1313" s="19"/>
      <c r="BE1313" s="19"/>
    </row>
    <row r="1314" spans="1:57" x14ac:dyDescent="0.25">
      <c r="A1314" s="6" t="s">
        <v>8</v>
      </c>
      <c r="B1314" s="9">
        <v>82230</v>
      </c>
      <c r="C1314" s="9" t="s">
        <v>2423</v>
      </c>
      <c r="D1314" s="9" t="s">
        <v>1563</v>
      </c>
      <c r="E1314" s="3">
        <v>58.354300000000002</v>
      </c>
      <c r="F1314" s="3">
        <v>12.358499999999999</v>
      </c>
      <c r="G1314" s="9">
        <v>47.996000000000002</v>
      </c>
      <c r="H1314" s="9" t="s">
        <v>148</v>
      </c>
      <c r="I1314" s="21" t="s">
        <v>8</v>
      </c>
      <c r="J1314" s="21" t="s">
        <v>8</v>
      </c>
      <c r="K1314" s="3" t="s">
        <v>5</v>
      </c>
      <c r="L1314" s="5" t="s">
        <v>2028</v>
      </c>
      <c r="M1314" s="7" t="s">
        <v>2653</v>
      </c>
      <c r="N1314" s="19" t="s">
        <v>2536</v>
      </c>
      <c r="O1314" s="22"/>
      <c r="P1314" s="19" t="s">
        <v>160</v>
      </c>
      <c r="AT1314" s="19" t="s">
        <v>160</v>
      </c>
      <c r="AU1314" s="19" t="s">
        <v>160</v>
      </c>
      <c r="BB1314" s="19"/>
      <c r="BC1314" s="19"/>
      <c r="BD1314" s="19"/>
      <c r="BE1314" s="19"/>
    </row>
    <row r="1315" spans="1:57" x14ac:dyDescent="0.25">
      <c r="A1315" s="6" t="s">
        <v>8</v>
      </c>
      <c r="B1315" s="9">
        <v>82230</v>
      </c>
      <c r="C1315" s="9" t="s">
        <v>2423</v>
      </c>
      <c r="D1315" s="9" t="s">
        <v>1562</v>
      </c>
      <c r="E1315" s="3">
        <v>58.355200000000004</v>
      </c>
      <c r="F1315" s="3">
        <v>12.361599999999999</v>
      </c>
      <c r="G1315" s="9">
        <v>50</v>
      </c>
      <c r="H1315" s="3" t="s">
        <v>148</v>
      </c>
      <c r="I1315" s="6" t="s">
        <v>8</v>
      </c>
      <c r="J1315" s="21" t="s">
        <v>8</v>
      </c>
      <c r="K1315" s="3" t="s">
        <v>5</v>
      </c>
      <c r="L1315" s="5" t="s">
        <v>2059</v>
      </c>
      <c r="M1315" s="5" t="s">
        <v>717</v>
      </c>
      <c r="N1315" s="19" t="s">
        <v>2296</v>
      </c>
      <c r="O1315" s="22"/>
      <c r="P1315" s="19" t="s">
        <v>160</v>
      </c>
      <c r="V1315" s="29"/>
      <c r="W1315" s="29"/>
      <c r="X1315" s="29"/>
      <c r="Y1315" s="29"/>
      <c r="Z1315" s="29"/>
      <c r="AA1315" s="29"/>
      <c r="AB1315" s="29"/>
      <c r="AC1315" s="29"/>
      <c r="AD1315" s="29"/>
      <c r="AE1315" s="29"/>
      <c r="AF1315" s="29"/>
      <c r="AG1315" s="29"/>
      <c r="AH1315" s="29"/>
      <c r="AI1315" s="29"/>
      <c r="AJ1315" s="29"/>
      <c r="AK1315" s="29"/>
      <c r="AL1315" s="29"/>
      <c r="AM1315" s="29"/>
      <c r="AN1315" s="29"/>
      <c r="AO1315" s="29"/>
      <c r="AP1315" s="29"/>
      <c r="AQ1315" s="29"/>
      <c r="AR1315" s="19" t="s">
        <v>160</v>
      </c>
      <c r="AV1315" s="19" t="s">
        <v>160</v>
      </c>
      <c r="AX1315" s="19" t="s">
        <v>160</v>
      </c>
      <c r="AZ1315" s="19" t="s">
        <v>160</v>
      </c>
      <c r="BB1315" s="19"/>
      <c r="BC1315" s="19"/>
      <c r="BD1315" s="19"/>
      <c r="BE1315" s="19"/>
    </row>
    <row r="1316" spans="1:57" x14ac:dyDescent="0.25">
      <c r="A1316" s="9" t="s">
        <v>8</v>
      </c>
      <c r="B1316" s="26">
        <v>35014</v>
      </c>
      <c r="C1316" s="24" t="s">
        <v>977</v>
      </c>
      <c r="D1316" t="s">
        <v>1051</v>
      </c>
      <c r="E1316" s="3">
        <f>57+6/60+29.592/3600</f>
        <v>57.108220000000003</v>
      </c>
      <c r="F1316" s="3">
        <f>12+13/60+29.712/3600</f>
        <v>12.224920000000001</v>
      </c>
      <c r="G1316" s="9"/>
      <c r="H1316" s="9" t="s">
        <v>150</v>
      </c>
      <c r="I1316" s="9" t="s">
        <v>8</v>
      </c>
      <c r="J1316" s="7" t="s">
        <v>8</v>
      </c>
      <c r="K1316" s="10" t="s">
        <v>951</v>
      </c>
      <c r="L1316" s="7" t="s">
        <v>2684</v>
      </c>
      <c r="M1316" s="7" t="s">
        <v>717</v>
      </c>
      <c r="N1316" s="42" t="s">
        <v>1347</v>
      </c>
      <c r="O1316" s="22"/>
      <c r="P1316" s="42"/>
      <c r="S1316" s="19" t="s">
        <v>160</v>
      </c>
      <c r="T1316" s="19" t="s">
        <v>160</v>
      </c>
      <c r="U1316" s="42"/>
      <c r="X1316" s="19" t="s">
        <v>160</v>
      </c>
      <c r="Z1316" s="19" t="s">
        <v>160</v>
      </c>
      <c r="AL1316" s="19" t="s">
        <v>160</v>
      </c>
      <c r="AR1316" s="19" t="s">
        <v>160</v>
      </c>
      <c r="AT1316" s="19" t="s">
        <v>160</v>
      </c>
      <c r="AV1316" s="19" t="s">
        <v>160</v>
      </c>
      <c r="BB1316" s="19"/>
      <c r="BC1316" s="19"/>
      <c r="BD1316" s="19"/>
      <c r="BE1316" s="19"/>
    </row>
    <row r="1317" spans="1:57" s="94" customFormat="1" x14ac:dyDescent="0.25">
      <c r="A1317" s="94" t="s">
        <v>2773</v>
      </c>
      <c r="B1317" s="136">
        <v>2104</v>
      </c>
      <c r="C1317" s="115" t="s">
        <v>978</v>
      </c>
      <c r="D1317" s="118" t="s">
        <v>977</v>
      </c>
      <c r="E1317" s="84">
        <f>57+6/60+29.61/3600</f>
        <v>57.108225000000004</v>
      </c>
      <c r="F1317" s="84">
        <f>12+13/60+29.73/3600</f>
        <v>12.224925000000001</v>
      </c>
      <c r="G1317" s="82"/>
      <c r="H1317" s="94" t="s">
        <v>150</v>
      </c>
      <c r="I1317" s="94" t="s">
        <v>8</v>
      </c>
      <c r="J1317" s="105" t="s">
        <v>8</v>
      </c>
      <c r="K1317" s="94" t="s">
        <v>6</v>
      </c>
      <c r="L1317" s="105" t="s">
        <v>2030</v>
      </c>
      <c r="M1317" s="105" t="s">
        <v>717</v>
      </c>
      <c r="N1317" s="108" t="s">
        <v>1106</v>
      </c>
      <c r="O1317" s="104"/>
      <c r="P1317" s="108" t="s">
        <v>160</v>
      </c>
      <c r="Q1317" s="107" t="s">
        <v>1185</v>
      </c>
      <c r="R1317" s="107" t="s">
        <v>1604</v>
      </c>
      <c r="S1317" s="108" t="s">
        <v>160</v>
      </c>
      <c r="T1317" s="108" t="s">
        <v>160</v>
      </c>
      <c r="U1317" s="108">
        <v>4</v>
      </c>
      <c r="V1317" s="108" t="s">
        <v>160</v>
      </c>
      <c r="W1317" s="108"/>
      <c r="X1317" s="108"/>
      <c r="Y1317" s="108"/>
      <c r="Z1317" s="108"/>
      <c r="AA1317" s="108"/>
      <c r="AB1317" s="108"/>
      <c r="AC1317" s="108"/>
      <c r="AD1317" s="108"/>
      <c r="AE1317" s="108"/>
      <c r="AF1317" s="108"/>
      <c r="AG1317" s="108"/>
      <c r="AH1317" s="108"/>
      <c r="AI1317" s="108"/>
      <c r="AJ1317" s="108"/>
      <c r="AK1317" s="108"/>
      <c r="AL1317" s="108"/>
      <c r="AM1317" s="108"/>
      <c r="AN1317" s="108"/>
      <c r="AO1317" s="108"/>
      <c r="AP1317" s="108"/>
      <c r="AQ1317" s="108"/>
      <c r="AR1317" s="108"/>
      <c r="AS1317" s="108"/>
      <c r="AT1317" s="108"/>
      <c r="AU1317" s="108"/>
      <c r="AV1317" s="108"/>
      <c r="AW1317" s="108"/>
      <c r="AX1317" s="108"/>
      <c r="AY1317" s="108"/>
      <c r="AZ1317" s="108"/>
      <c r="BA1317" s="108"/>
      <c r="BB1317" s="108"/>
      <c r="BC1317" s="108"/>
      <c r="BD1317" s="108"/>
      <c r="BE1317" s="108"/>
    </row>
    <row r="1318" spans="1:57" x14ac:dyDescent="0.25">
      <c r="A1318" s="9" t="s">
        <v>8</v>
      </c>
      <c r="B1318" s="140">
        <v>2104</v>
      </c>
      <c r="C1318" s="39" t="s">
        <v>978</v>
      </c>
      <c r="D1318" t="s">
        <v>977</v>
      </c>
      <c r="E1318" s="195">
        <v>57.11</v>
      </c>
      <c r="F1318" s="195">
        <v>12.23</v>
      </c>
      <c r="H1318" s="9" t="s">
        <v>150</v>
      </c>
      <c r="I1318" s="9" t="s">
        <v>8</v>
      </c>
      <c r="J1318" s="7" t="s">
        <v>8</v>
      </c>
      <c r="K1318" s="9" t="s">
        <v>6</v>
      </c>
      <c r="L1318" s="7" t="s">
        <v>2030</v>
      </c>
      <c r="M1318" s="7" t="s">
        <v>717</v>
      </c>
      <c r="N1318" s="19" t="s">
        <v>1106</v>
      </c>
      <c r="O1318" s="22"/>
      <c r="P1318" s="19" t="s">
        <v>160</v>
      </c>
      <c r="Q1318" s="44" t="s">
        <v>1185</v>
      </c>
      <c r="R1318" s="44" t="s">
        <v>1604</v>
      </c>
      <c r="S1318" s="19" t="s">
        <v>160</v>
      </c>
      <c r="T1318" s="19" t="s">
        <v>160</v>
      </c>
      <c r="U1318" s="19">
        <v>4</v>
      </c>
      <c r="V1318" s="19" t="s">
        <v>160</v>
      </c>
      <c r="BB1318" s="19"/>
      <c r="BC1318" s="19"/>
      <c r="BD1318" s="19"/>
      <c r="BE1318" s="19"/>
    </row>
    <row r="1319" spans="1:57" x14ac:dyDescent="0.25">
      <c r="A1319" s="9" t="s">
        <v>707</v>
      </c>
      <c r="B1319" s="137" t="s">
        <v>646</v>
      </c>
      <c r="C1319" s="23" t="s">
        <v>734</v>
      </c>
      <c r="D1319" s="40" t="s">
        <v>647</v>
      </c>
      <c r="E1319" s="46" t="s">
        <v>649</v>
      </c>
      <c r="F1319" s="46" t="s">
        <v>648</v>
      </c>
      <c r="G1319" s="40"/>
      <c r="H1319" s="9" t="s">
        <v>150</v>
      </c>
      <c r="I1319" s="41" t="s">
        <v>169</v>
      </c>
      <c r="J1319" s="41" t="s">
        <v>169</v>
      </c>
      <c r="K1319" s="40" t="s">
        <v>6</v>
      </c>
      <c r="L1319" s="41" t="s">
        <v>2031</v>
      </c>
      <c r="M1319" s="7" t="s">
        <v>2653</v>
      </c>
      <c r="N1319" s="19" t="s">
        <v>1108</v>
      </c>
      <c r="O1319" s="42" t="s">
        <v>160</v>
      </c>
      <c r="P1319" s="42" t="s">
        <v>160</v>
      </c>
      <c r="Q1319" s="44" t="s">
        <v>1185</v>
      </c>
      <c r="S1319" s="19" t="s">
        <v>160</v>
      </c>
      <c r="T1319" s="19" t="s">
        <v>160</v>
      </c>
      <c r="U1319" s="19">
        <v>2</v>
      </c>
      <c r="V1319" s="42" t="s">
        <v>160</v>
      </c>
      <c r="W1319" s="42" t="s">
        <v>160</v>
      </c>
      <c r="X1319" s="42" t="s">
        <v>160</v>
      </c>
      <c r="Y1319" s="42" t="s">
        <v>160</v>
      </c>
      <c r="Z1319" s="42"/>
      <c r="AA1319" s="42"/>
      <c r="AB1319" s="42"/>
      <c r="AC1319" s="42"/>
      <c r="AD1319" s="42"/>
      <c r="AE1319" s="42"/>
      <c r="AF1319" s="42"/>
      <c r="AG1319" s="42"/>
      <c r="AH1319" s="42"/>
      <c r="AI1319" s="42"/>
      <c r="AJ1319" s="42"/>
      <c r="AK1319" s="42"/>
      <c r="AL1319" s="42"/>
      <c r="AM1319" s="42"/>
      <c r="AN1319" s="42"/>
      <c r="AO1319" s="42"/>
      <c r="AP1319" s="42"/>
      <c r="AQ1319" s="42"/>
      <c r="AR1319" s="42"/>
      <c r="AS1319" s="42"/>
      <c r="AZ1319" s="42"/>
      <c r="BA1319" s="42"/>
      <c r="BB1319" s="42"/>
      <c r="BC1319" s="42"/>
      <c r="BD1319" s="42"/>
      <c r="BE1319" s="42"/>
    </row>
    <row r="1320" spans="1:57" x14ac:dyDescent="0.25">
      <c r="A1320" s="53" t="s">
        <v>2763</v>
      </c>
      <c r="B1320" s="138" t="s">
        <v>2821</v>
      </c>
      <c r="C1320" s="53" t="s">
        <v>734</v>
      </c>
      <c r="D1320" s="53" t="s">
        <v>734</v>
      </c>
      <c r="E1320" s="35">
        <f>57+6/60+34.25/3600</f>
        <v>57.109513888888891</v>
      </c>
      <c r="F1320" s="35">
        <f>12+14/60+29.634/3600</f>
        <v>12.241565</v>
      </c>
      <c r="G1320" s="53">
        <v>1.87</v>
      </c>
      <c r="H1320" s="9" t="s">
        <v>150</v>
      </c>
      <c r="I1320" s="7" t="s">
        <v>169</v>
      </c>
      <c r="J1320" s="53" t="s">
        <v>169</v>
      </c>
      <c r="K1320" s="7" t="s">
        <v>6</v>
      </c>
      <c r="L1320" s="7" t="s">
        <v>2031</v>
      </c>
      <c r="M1320" s="7" t="s">
        <v>2653</v>
      </c>
      <c r="N1320" s="19" t="s">
        <v>1108</v>
      </c>
      <c r="O1320" s="42" t="s">
        <v>160</v>
      </c>
      <c r="P1320" s="42" t="s">
        <v>160</v>
      </c>
      <c r="Q1320" s="44" t="s">
        <v>1185</v>
      </c>
      <c r="S1320" s="19" t="s">
        <v>160</v>
      </c>
      <c r="T1320" s="19" t="s">
        <v>160</v>
      </c>
      <c r="U1320" s="42">
        <v>2</v>
      </c>
      <c r="V1320" s="20" t="s">
        <v>160</v>
      </c>
      <c r="W1320" s="20" t="s">
        <v>160</v>
      </c>
      <c r="X1320" s="20" t="s">
        <v>160</v>
      </c>
      <c r="Y1320" s="20" t="s">
        <v>160</v>
      </c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94" customFormat="1" x14ac:dyDescent="0.25">
      <c r="A1321" s="105" t="s">
        <v>2773</v>
      </c>
      <c r="B1321" s="139" t="s">
        <v>2822</v>
      </c>
      <c r="C1321" s="110" t="s">
        <v>734</v>
      </c>
      <c r="D1321" s="153" t="s">
        <v>734</v>
      </c>
      <c r="E1321" s="82">
        <f>57+6/60+34.2468/3600</f>
        <v>57.109513</v>
      </c>
      <c r="F1321" s="82">
        <f>12+14/60+29.6376/3600</f>
        <v>12.241565999999999</v>
      </c>
      <c r="G1321" s="178">
        <v>1.87</v>
      </c>
      <c r="H1321" s="105" t="s">
        <v>150</v>
      </c>
      <c r="I1321" s="105" t="s">
        <v>169</v>
      </c>
      <c r="J1321" s="105" t="s">
        <v>169</v>
      </c>
      <c r="K1321" s="105" t="s">
        <v>6</v>
      </c>
      <c r="L1321" s="105" t="s">
        <v>2031</v>
      </c>
      <c r="M1321" s="105" t="s">
        <v>2653</v>
      </c>
      <c r="N1321" s="108" t="s">
        <v>1108</v>
      </c>
      <c r="O1321" s="106" t="s">
        <v>160</v>
      </c>
      <c r="P1321" s="106" t="s">
        <v>160</v>
      </c>
      <c r="Q1321" s="107" t="s">
        <v>1185</v>
      </c>
      <c r="R1321" s="108"/>
      <c r="S1321" s="108" t="s">
        <v>160</v>
      </c>
      <c r="T1321" s="108" t="s">
        <v>160</v>
      </c>
      <c r="U1321" s="106">
        <v>2</v>
      </c>
      <c r="V1321" s="103" t="s">
        <v>160</v>
      </c>
      <c r="W1321" s="103" t="s">
        <v>160</v>
      </c>
      <c r="X1321" s="103" t="s">
        <v>160</v>
      </c>
      <c r="Y1321" s="103" t="s">
        <v>160</v>
      </c>
      <c r="Z1321" s="103"/>
      <c r="AA1321" s="103"/>
      <c r="AB1321" s="103"/>
      <c r="AC1321" s="103"/>
      <c r="AD1321" s="103"/>
      <c r="AE1321" s="103"/>
      <c r="AF1321" s="103"/>
      <c r="AG1321" s="103"/>
      <c r="AH1321" s="103"/>
      <c r="AI1321" s="103"/>
      <c r="AJ1321" s="103"/>
      <c r="AK1321" s="103"/>
      <c r="AL1321" s="103"/>
      <c r="AM1321" s="103"/>
      <c r="AN1321" s="103"/>
      <c r="AO1321" s="103"/>
      <c r="AP1321" s="103"/>
      <c r="AQ1321" s="103"/>
      <c r="AR1321" s="103"/>
      <c r="AS1321" s="103"/>
      <c r="AT1321" s="103"/>
      <c r="AU1321" s="103"/>
      <c r="AV1321" s="103"/>
      <c r="AW1321" s="103"/>
      <c r="AX1321" s="103"/>
      <c r="AY1321" s="103"/>
      <c r="AZ1321" s="103"/>
      <c r="BA1321" s="103"/>
      <c r="BB1321" s="103"/>
      <c r="BC1321" s="103"/>
      <c r="BD1321" s="103"/>
      <c r="BE1321" s="103"/>
    </row>
    <row r="1322" spans="1:57" x14ac:dyDescent="0.25">
      <c r="A1322" s="7" t="s">
        <v>8</v>
      </c>
      <c r="B1322" s="142" t="s">
        <v>2821</v>
      </c>
      <c r="C1322" s="23" t="s">
        <v>734</v>
      </c>
      <c r="D1322" s="24" t="s">
        <v>734</v>
      </c>
      <c r="E1322" s="193">
        <v>57.1096</v>
      </c>
      <c r="F1322" s="193">
        <v>12.2415</v>
      </c>
      <c r="G1322" s="43"/>
      <c r="H1322" s="7" t="s">
        <v>150</v>
      </c>
      <c r="I1322" s="7" t="s">
        <v>169</v>
      </c>
      <c r="J1322" s="7" t="s">
        <v>169</v>
      </c>
      <c r="K1322" s="7" t="s">
        <v>6</v>
      </c>
      <c r="L1322" s="7" t="s">
        <v>2031</v>
      </c>
      <c r="M1322" s="7" t="s">
        <v>2653</v>
      </c>
      <c r="N1322" s="19" t="s">
        <v>1108</v>
      </c>
      <c r="O1322" s="42" t="s">
        <v>160</v>
      </c>
      <c r="P1322" s="42" t="s">
        <v>160</v>
      </c>
      <c r="Q1322" s="44" t="s">
        <v>1185</v>
      </c>
      <c r="S1322" s="19" t="s">
        <v>160</v>
      </c>
      <c r="T1322" s="19" t="s">
        <v>160</v>
      </c>
      <c r="U1322" s="42">
        <v>2</v>
      </c>
      <c r="V1322" s="20" t="s">
        <v>160</v>
      </c>
      <c r="W1322" s="20" t="s">
        <v>160</v>
      </c>
      <c r="X1322" s="20" t="s">
        <v>160</v>
      </c>
      <c r="Y1322" s="20" t="s">
        <v>160</v>
      </c>
      <c r="Z1322" s="20"/>
      <c r="AA1322" s="20"/>
      <c r="AB1322" s="20"/>
      <c r="AC1322" s="20"/>
      <c r="AD1322" s="20"/>
      <c r="AE1322" s="20"/>
      <c r="AF1322" s="20"/>
      <c r="AG1322" s="20"/>
      <c r="AH1322" s="20"/>
      <c r="AI1322" s="20"/>
      <c r="AJ1322" s="20"/>
      <c r="AK1322" s="20"/>
      <c r="AL1322" s="20"/>
      <c r="AM1322" s="20"/>
      <c r="AN1322" s="20"/>
      <c r="AO1322" s="20"/>
      <c r="AP1322" s="20"/>
      <c r="AQ1322" s="20"/>
      <c r="AR1322" s="20"/>
      <c r="AS1322" s="20"/>
      <c r="AT1322" s="20"/>
      <c r="AU1322" s="20"/>
      <c r="AV1322" s="20"/>
      <c r="AW1322" s="20"/>
      <c r="AX1322" s="20"/>
      <c r="AY1322" s="20"/>
      <c r="AZ1322" s="20"/>
      <c r="BA1322" s="20"/>
      <c r="BB1322" s="20"/>
      <c r="BC1322" s="20"/>
      <c r="BD1322" s="20"/>
      <c r="BE1322" s="20"/>
    </row>
    <row r="1323" spans="1:57" x14ac:dyDescent="0.25">
      <c r="A1323" s="9" t="s">
        <v>706</v>
      </c>
      <c r="B1323" s="140">
        <v>89</v>
      </c>
      <c r="C1323" s="23" t="s">
        <v>734</v>
      </c>
      <c r="D1323" s="62" t="s">
        <v>130</v>
      </c>
      <c r="E1323" s="35">
        <f>57+6/60+34/3600</f>
        <v>57.109444444444449</v>
      </c>
      <c r="F1323" s="35">
        <f>12+14/60+30/3600</f>
        <v>12.241666666666665</v>
      </c>
      <c r="G1323" s="43"/>
      <c r="H1323" s="9" t="s">
        <v>150</v>
      </c>
      <c r="I1323" s="7" t="s">
        <v>169</v>
      </c>
      <c r="J1323" s="7" t="s">
        <v>169</v>
      </c>
      <c r="K1323" s="9" t="s">
        <v>6</v>
      </c>
      <c r="L1323" s="7" t="s">
        <v>2031</v>
      </c>
      <c r="M1323" s="7" t="s">
        <v>2653</v>
      </c>
      <c r="N1323" s="19" t="s">
        <v>1108</v>
      </c>
      <c r="O1323" s="42" t="s">
        <v>160</v>
      </c>
      <c r="P1323" s="42" t="s">
        <v>160</v>
      </c>
      <c r="Q1323" s="44" t="s">
        <v>1185</v>
      </c>
      <c r="S1323" s="19" t="s">
        <v>160</v>
      </c>
      <c r="T1323" s="19" t="s">
        <v>160</v>
      </c>
      <c r="U1323" s="19">
        <v>2</v>
      </c>
      <c r="V1323" s="19" t="s">
        <v>160</v>
      </c>
      <c r="W1323" s="19" t="s">
        <v>160</v>
      </c>
      <c r="X1323" s="19" t="s">
        <v>160</v>
      </c>
      <c r="Y1323" s="19" t="s">
        <v>160</v>
      </c>
      <c r="BB1323" s="19"/>
      <c r="BC1323" s="19"/>
      <c r="BD1323" s="19"/>
      <c r="BE1323" s="19"/>
    </row>
    <row r="1324" spans="1:57" x14ac:dyDescent="0.25">
      <c r="A1324" s="9" t="s">
        <v>8</v>
      </c>
      <c r="B1324" s="27">
        <v>37305</v>
      </c>
      <c r="C1324" s="28" t="s">
        <v>1900</v>
      </c>
      <c r="D1324" s="28" t="s">
        <v>977</v>
      </c>
      <c r="E1324" s="25">
        <v>57.1</v>
      </c>
      <c r="F1324" s="25">
        <v>12.2333</v>
      </c>
      <c r="H1324" s="9" t="s">
        <v>150</v>
      </c>
      <c r="I1324" s="40" t="s">
        <v>8</v>
      </c>
      <c r="J1324" s="41" t="s">
        <v>8</v>
      </c>
      <c r="K1324" s="6" t="s">
        <v>2455</v>
      </c>
      <c r="L1324" s="7" t="s">
        <v>2027</v>
      </c>
      <c r="M1324" s="28" t="s">
        <v>717</v>
      </c>
      <c r="N1324" s="19" t="s">
        <v>1858</v>
      </c>
      <c r="O1324" s="22"/>
      <c r="X1324" s="19" t="s">
        <v>160</v>
      </c>
      <c r="BA1324" s="7"/>
      <c r="BB1324" s="7"/>
      <c r="BC1324" s="7"/>
      <c r="BD1324" s="7"/>
      <c r="BE1324" s="7"/>
    </row>
    <row r="1325" spans="1:57" x14ac:dyDescent="0.25">
      <c r="A1325" s="6" t="s">
        <v>8</v>
      </c>
      <c r="B1325" s="9">
        <v>72080</v>
      </c>
      <c r="C1325" s="9" t="s">
        <v>2016</v>
      </c>
      <c r="D1325" s="9" t="s">
        <v>977</v>
      </c>
      <c r="E1325" s="3">
        <v>57.109299999999998</v>
      </c>
      <c r="F1325" s="3">
        <v>12.296099999999999</v>
      </c>
      <c r="G1325" s="9">
        <v>33.965000000000003</v>
      </c>
      <c r="H1325" s="9"/>
      <c r="I1325" s="21" t="s">
        <v>8</v>
      </c>
      <c r="J1325" s="21" t="s">
        <v>8</v>
      </c>
      <c r="K1325" s="3" t="s">
        <v>5</v>
      </c>
      <c r="L1325" s="5" t="s">
        <v>2028</v>
      </c>
      <c r="M1325" s="5" t="s">
        <v>2653</v>
      </c>
      <c r="N1325" s="19" t="s">
        <v>2581</v>
      </c>
      <c r="O1325" s="22"/>
      <c r="P1325" s="19" t="s">
        <v>160</v>
      </c>
      <c r="AR1325" s="29"/>
      <c r="AS1325" s="29"/>
      <c r="AT1325" s="19" t="s">
        <v>160</v>
      </c>
      <c r="AU1325" s="19" t="s">
        <v>160</v>
      </c>
      <c r="BB1325" s="19"/>
      <c r="BC1325" s="19"/>
      <c r="BD1325" s="19"/>
      <c r="BE1325" s="19"/>
    </row>
    <row r="1326" spans="1:57" x14ac:dyDescent="0.25">
      <c r="A1326" s="6" t="s">
        <v>8</v>
      </c>
      <c r="B1326" s="9">
        <v>72080</v>
      </c>
      <c r="C1326" s="9" t="s">
        <v>2016</v>
      </c>
      <c r="D1326" s="9" t="s">
        <v>977</v>
      </c>
      <c r="E1326" s="3">
        <v>57.108400000000003</v>
      </c>
      <c r="F1326" s="3">
        <v>12.274100000000001</v>
      </c>
      <c r="G1326" s="9">
        <v>20</v>
      </c>
      <c r="H1326" s="9"/>
      <c r="I1326" s="6" t="s">
        <v>8</v>
      </c>
      <c r="J1326" s="21" t="s">
        <v>8</v>
      </c>
      <c r="K1326" s="3" t="s">
        <v>5</v>
      </c>
      <c r="L1326" s="5" t="s">
        <v>2680</v>
      </c>
      <c r="M1326" s="5" t="s">
        <v>717</v>
      </c>
      <c r="N1326" s="19" t="s">
        <v>2296</v>
      </c>
      <c r="O1326" s="22"/>
      <c r="P1326" s="19" t="s">
        <v>160</v>
      </c>
      <c r="AR1326" s="19" t="s">
        <v>160</v>
      </c>
      <c r="AT1326" s="19" t="s">
        <v>160</v>
      </c>
      <c r="AV1326" s="19" t="s">
        <v>160</v>
      </c>
      <c r="AX1326" s="19" t="s">
        <v>160</v>
      </c>
      <c r="AZ1326" s="19" t="s">
        <v>160</v>
      </c>
      <c r="BB1326" s="19"/>
      <c r="BC1326" s="19"/>
      <c r="BD1326" s="19"/>
      <c r="BE1326" s="19"/>
    </row>
    <row r="1327" spans="1:57" x14ac:dyDescent="0.25">
      <c r="A1327" s="9" t="s">
        <v>707</v>
      </c>
      <c r="B1327" s="39" t="s">
        <v>650</v>
      </c>
      <c r="C1327" s="39" t="s">
        <v>880</v>
      </c>
      <c r="D1327" s="40" t="s">
        <v>651</v>
      </c>
      <c r="E1327" s="46" t="s">
        <v>2172</v>
      </c>
      <c r="F1327" s="46" t="s">
        <v>2173</v>
      </c>
      <c r="G1327" s="40"/>
      <c r="H1327" s="9" t="s">
        <v>148</v>
      </c>
      <c r="I1327" s="7" t="s">
        <v>169</v>
      </c>
      <c r="J1327" s="24" t="s">
        <v>169</v>
      </c>
      <c r="K1327" s="9" t="s">
        <v>936</v>
      </c>
      <c r="L1327" s="41" t="s">
        <v>2036</v>
      </c>
      <c r="M1327" s="7" t="s">
        <v>2653</v>
      </c>
      <c r="V1327" s="42"/>
      <c r="W1327" s="42"/>
      <c r="X1327" s="42"/>
      <c r="Y1327" s="42"/>
      <c r="Z1327" s="42"/>
      <c r="AA1327" s="42"/>
      <c r="AB1327" s="42"/>
      <c r="AC1327" s="42"/>
      <c r="AD1327" s="42"/>
      <c r="AE1327" s="42"/>
      <c r="AF1327" s="42"/>
      <c r="AG1327" s="42"/>
      <c r="AH1327" s="42"/>
      <c r="AI1327" s="42"/>
      <c r="AJ1327" s="42"/>
      <c r="AK1327" s="42"/>
      <c r="AL1327" s="42"/>
      <c r="AM1327" s="42"/>
      <c r="AN1327" s="42"/>
      <c r="AO1327" s="42"/>
      <c r="AP1327" s="42" t="s">
        <v>160</v>
      </c>
      <c r="AQ1327" s="42" t="s">
        <v>160</v>
      </c>
      <c r="AR1327" s="42"/>
      <c r="AS1327" s="42"/>
      <c r="AZ1327" s="42"/>
      <c r="BA1327" s="42"/>
      <c r="BB1327" s="42"/>
      <c r="BC1327" s="42"/>
      <c r="BD1327" s="42"/>
      <c r="BE1327" s="42"/>
    </row>
    <row r="1328" spans="1:57" s="94" customFormat="1" x14ac:dyDescent="0.25">
      <c r="A1328" s="114" t="s">
        <v>2773</v>
      </c>
      <c r="B1328" s="110" t="s">
        <v>2984</v>
      </c>
      <c r="C1328" s="110" t="s">
        <v>880</v>
      </c>
      <c r="D1328" s="102" t="s">
        <v>786</v>
      </c>
      <c r="E1328" s="93">
        <f>58+21/60+26.172/3600</f>
        <v>58.35727</v>
      </c>
      <c r="F1328" s="93">
        <f>12+22/60+29.568/3600</f>
        <v>12.374880000000001</v>
      </c>
      <c r="G1328" s="93"/>
      <c r="H1328" s="94" t="s">
        <v>148</v>
      </c>
      <c r="I1328" s="105" t="s">
        <v>169</v>
      </c>
      <c r="J1328" s="102" t="s">
        <v>169</v>
      </c>
      <c r="K1328" s="94" t="s">
        <v>936</v>
      </c>
      <c r="L1328" s="102" t="s">
        <v>2036</v>
      </c>
      <c r="M1328" s="105" t="s">
        <v>2653</v>
      </c>
      <c r="N1328" s="108"/>
      <c r="O1328" s="108"/>
      <c r="P1328" s="108"/>
      <c r="Q1328" s="108"/>
      <c r="R1328" s="108"/>
      <c r="S1328" s="108"/>
      <c r="T1328" s="108"/>
      <c r="U1328" s="108"/>
      <c r="V1328" s="108"/>
      <c r="W1328" s="108"/>
      <c r="X1328" s="108"/>
      <c r="Y1328" s="108"/>
      <c r="Z1328" s="108"/>
      <c r="AA1328" s="108"/>
      <c r="AB1328" s="108"/>
      <c r="AC1328" s="108"/>
      <c r="AD1328" s="108"/>
      <c r="AE1328" s="108"/>
      <c r="AF1328" s="108"/>
      <c r="AG1328" s="108"/>
      <c r="AH1328" s="108"/>
      <c r="AI1328" s="108"/>
      <c r="AJ1328" s="108"/>
      <c r="AK1328" s="108"/>
      <c r="AL1328" s="108"/>
      <c r="AM1328" s="108"/>
      <c r="AN1328" s="108"/>
      <c r="AO1328" s="108"/>
      <c r="AP1328" s="108" t="s">
        <v>160</v>
      </c>
      <c r="AQ1328" s="108" t="s">
        <v>160</v>
      </c>
      <c r="AR1328" s="108"/>
      <c r="AS1328" s="108"/>
      <c r="AT1328" s="108"/>
      <c r="AU1328" s="108"/>
      <c r="AV1328" s="108"/>
      <c r="AW1328" s="108"/>
      <c r="AX1328" s="108"/>
      <c r="AY1328" s="108"/>
      <c r="AZ1328" s="108"/>
      <c r="BA1328" s="108"/>
      <c r="BB1328" s="108"/>
      <c r="BC1328" s="108"/>
      <c r="BD1328" s="108"/>
      <c r="BE1328" s="108"/>
    </row>
    <row r="1329" spans="1:57" x14ac:dyDescent="0.25">
      <c r="A1329" s="6" t="s">
        <v>8</v>
      </c>
      <c r="B1329" s="23">
        <v>35191</v>
      </c>
      <c r="C1329" s="23" t="s">
        <v>880</v>
      </c>
      <c r="D1329" s="24" t="s">
        <v>786</v>
      </c>
      <c r="E1329" s="5">
        <f>58+21/60+26.172/3600</f>
        <v>58.35727</v>
      </c>
      <c r="F1329" s="5">
        <f>12+22/60+29.568/3600</f>
        <v>12.374880000000001</v>
      </c>
      <c r="G1329" s="5"/>
      <c r="H1329" s="9" t="s">
        <v>148</v>
      </c>
      <c r="I1329" s="7" t="s">
        <v>169</v>
      </c>
      <c r="J1329" s="24" t="s">
        <v>169</v>
      </c>
      <c r="K1329" s="9" t="s">
        <v>936</v>
      </c>
      <c r="L1329" s="24" t="s">
        <v>2036</v>
      </c>
      <c r="M1329" s="7" t="s">
        <v>2653</v>
      </c>
      <c r="AP1329" s="19" t="s">
        <v>160</v>
      </c>
      <c r="AQ1329" s="19" t="s">
        <v>160</v>
      </c>
      <c r="BB1329" s="19"/>
      <c r="BC1329" s="19"/>
      <c r="BD1329" s="19"/>
      <c r="BE1329" s="19"/>
    </row>
    <row r="1330" spans="1:57" x14ac:dyDescent="0.25">
      <c r="A1330" s="9" t="s">
        <v>706</v>
      </c>
      <c r="B1330" s="38">
        <v>107</v>
      </c>
      <c r="C1330" s="38" t="s">
        <v>880</v>
      </c>
      <c r="D1330" s="62" t="s">
        <v>131</v>
      </c>
      <c r="E1330" s="3">
        <f>58+21/60+26/3600</f>
        <v>58.357222222222227</v>
      </c>
      <c r="F1330" s="3">
        <f>12+22/60+30/3600</f>
        <v>12.375</v>
      </c>
      <c r="G1330" s="5"/>
      <c r="H1330" s="9" t="s">
        <v>148</v>
      </c>
      <c r="I1330" s="7" t="s">
        <v>169</v>
      </c>
      <c r="J1330" s="24" t="s">
        <v>169</v>
      </c>
      <c r="K1330" s="9" t="s">
        <v>936</v>
      </c>
      <c r="L1330" s="7" t="s">
        <v>2036</v>
      </c>
      <c r="M1330" s="7" t="s">
        <v>2653</v>
      </c>
      <c r="AP1330" s="19" t="s">
        <v>160</v>
      </c>
      <c r="AQ1330" s="19" t="s">
        <v>160</v>
      </c>
      <c r="BB1330" s="19"/>
      <c r="BC1330" s="19"/>
      <c r="BD1330" s="19"/>
      <c r="BE1330" s="19"/>
    </row>
    <row r="1331" spans="1:57" x14ac:dyDescent="0.25">
      <c r="A1331" s="9" t="s">
        <v>707</v>
      </c>
      <c r="B1331" s="39" t="s">
        <v>676</v>
      </c>
      <c r="C1331" s="38" t="s">
        <v>931</v>
      </c>
      <c r="D1331" s="40" t="s">
        <v>677</v>
      </c>
      <c r="E1331" s="46" t="s">
        <v>2200</v>
      </c>
      <c r="F1331" s="46" t="s">
        <v>2201</v>
      </c>
      <c r="G1331" s="40"/>
      <c r="H1331" s="9" t="s">
        <v>150</v>
      </c>
      <c r="I1331" s="41" t="s">
        <v>169</v>
      </c>
      <c r="J1331" s="41" t="s">
        <v>169</v>
      </c>
      <c r="K1331" s="40" t="s">
        <v>5</v>
      </c>
      <c r="L1331" s="41" t="s">
        <v>2041</v>
      </c>
      <c r="M1331" s="7" t="s">
        <v>2653</v>
      </c>
      <c r="V1331" s="42"/>
      <c r="W1331" s="42"/>
      <c r="X1331" s="42"/>
      <c r="Y1331" s="42"/>
      <c r="Z1331" s="42"/>
      <c r="AA1331" s="42"/>
      <c r="AB1331" s="42"/>
      <c r="AC1331" s="42"/>
      <c r="AD1331" s="42"/>
      <c r="AE1331" s="42"/>
      <c r="AF1331" s="42"/>
      <c r="AG1331" s="42"/>
      <c r="AH1331" s="42"/>
      <c r="AI1331" s="42"/>
      <c r="AJ1331" s="42"/>
      <c r="AK1331" s="42"/>
      <c r="AL1331" s="42"/>
      <c r="AM1331" s="42"/>
      <c r="AN1331" s="42"/>
      <c r="AO1331" s="42"/>
      <c r="AP1331" s="42"/>
      <c r="AQ1331" s="42"/>
      <c r="AR1331" s="42"/>
      <c r="AS1331" s="42"/>
      <c r="AZ1331" s="42" t="s">
        <v>160</v>
      </c>
      <c r="BA1331" s="42" t="s">
        <v>160</v>
      </c>
      <c r="BB1331" s="42"/>
      <c r="BC1331" s="42"/>
      <c r="BD1331" s="42"/>
      <c r="BE1331" s="42"/>
    </row>
    <row r="1332" spans="1:57" s="94" customFormat="1" x14ac:dyDescent="0.25">
      <c r="A1332" s="114" t="s">
        <v>2773</v>
      </c>
      <c r="B1332" s="110" t="s">
        <v>2985</v>
      </c>
      <c r="C1332" s="109" t="s">
        <v>931</v>
      </c>
      <c r="D1332" s="153" t="s">
        <v>137</v>
      </c>
      <c r="E1332" s="93">
        <f>59+21/60+46.71/3600</f>
        <v>59.362974999999999</v>
      </c>
      <c r="F1332" s="93">
        <f>18+22/60+34.7412/3600</f>
        <v>18.376317</v>
      </c>
      <c r="G1332" s="93"/>
      <c r="H1332" s="94" t="s">
        <v>150</v>
      </c>
      <c r="I1332" s="102" t="s">
        <v>169</v>
      </c>
      <c r="J1332" s="102" t="s">
        <v>169</v>
      </c>
      <c r="K1332" s="102" t="s">
        <v>5</v>
      </c>
      <c r="L1332" s="102" t="s">
        <v>2041</v>
      </c>
      <c r="M1332" s="105" t="s">
        <v>2653</v>
      </c>
      <c r="N1332" s="108"/>
      <c r="O1332" s="108"/>
      <c r="P1332" s="108"/>
      <c r="Q1332" s="108"/>
      <c r="R1332" s="108"/>
      <c r="S1332" s="108"/>
      <c r="T1332" s="108"/>
      <c r="U1332" s="108"/>
      <c r="V1332" s="108"/>
      <c r="W1332" s="108"/>
      <c r="X1332" s="108"/>
      <c r="Y1332" s="108"/>
      <c r="Z1332" s="108"/>
      <c r="AA1332" s="108"/>
      <c r="AB1332" s="108"/>
      <c r="AC1332" s="108"/>
      <c r="AD1332" s="108"/>
      <c r="AE1332" s="108"/>
      <c r="AF1332" s="108"/>
      <c r="AG1332" s="108"/>
      <c r="AH1332" s="108"/>
      <c r="AI1332" s="108"/>
      <c r="AJ1332" s="108"/>
      <c r="AK1332" s="108"/>
      <c r="AL1332" s="108"/>
      <c r="AM1332" s="108"/>
      <c r="AN1332" s="108"/>
      <c r="AO1332" s="108"/>
      <c r="AP1332" s="108"/>
      <c r="AQ1332" s="108"/>
      <c r="AR1332" s="108"/>
      <c r="AS1332" s="108"/>
      <c r="AT1332" s="108"/>
      <c r="AU1332" s="108"/>
      <c r="AV1332" s="108"/>
      <c r="AW1332" s="108"/>
      <c r="AX1332" s="108"/>
      <c r="AY1332" s="108"/>
      <c r="AZ1332" s="108" t="s">
        <v>160</v>
      </c>
      <c r="BA1332" s="108" t="s">
        <v>160</v>
      </c>
      <c r="BB1332" s="108"/>
      <c r="BC1332" s="108"/>
      <c r="BD1332" s="108"/>
      <c r="BE1332" s="108"/>
    </row>
    <row r="1333" spans="1:57" x14ac:dyDescent="0.25">
      <c r="A1333" s="6" t="s">
        <v>8</v>
      </c>
      <c r="B1333" s="23">
        <v>35199</v>
      </c>
      <c r="C1333" s="38" t="s">
        <v>931</v>
      </c>
      <c r="D1333" s="24" t="s">
        <v>788</v>
      </c>
      <c r="E1333" s="5">
        <f>59+21/60+46.71/3600</f>
        <v>59.362974999999999</v>
      </c>
      <c r="F1333" s="5">
        <f>18+22/60+34.7412/3600</f>
        <v>18.376317</v>
      </c>
      <c r="G1333" s="5"/>
      <c r="H1333" s="9" t="s">
        <v>150</v>
      </c>
      <c r="I1333" s="24" t="s">
        <v>169</v>
      </c>
      <c r="J1333" s="24" t="s">
        <v>169</v>
      </c>
      <c r="K1333" s="24" t="s">
        <v>5</v>
      </c>
      <c r="L1333" s="24" t="s">
        <v>2041</v>
      </c>
      <c r="M1333" s="7" t="s">
        <v>2653</v>
      </c>
      <c r="AZ1333" s="19" t="s">
        <v>160</v>
      </c>
      <c r="BA1333" s="19" t="s">
        <v>160</v>
      </c>
      <c r="BB1333" s="19"/>
      <c r="BC1333" s="19"/>
      <c r="BD1333" s="19"/>
      <c r="BE1333" s="19"/>
    </row>
    <row r="1334" spans="1:57" x14ac:dyDescent="0.25">
      <c r="A1334" s="9" t="s">
        <v>706</v>
      </c>
      <c r="B1334" s="38">
        <v>92</v>
      </c>
      <c r="C1334" s="38" t="s">
        <v>931</v>
      </c>
      <c r="D1334" s="62" t="s">
        <v>137</v>
      </c>
      <c r="E1334" s="3">
        <f>59+21/60+47/3600</f>
        <v>59.363055555555555</v>
      </c>
      <c r="F1334" s="3">
        <f>18+22/60+35/3600</f>
        <v>18.37638888888889</v>
      </c>
      <c r="G1334" s="5"/>
      <c r="H1334" s="9" t="s">
        <v>150</v>
      </c>
      <c r="I1334" s="7" t="s">
        <v>169</v>
      </c>
      <c r="J1334" s="7" t="s">
        <v>169</v>
      </c>
      <c r="K1334" s="9" t="s">
        <v>5</v>
      </c>
      <c r="L1334" s="7" t="s">
        <v>2041</v>
      </c>
      <c r="M1334" s="7" t="s">
        <v>2653</v>
      </c>
      <c r="AZ1334" s="19" t="s">
        <v>160</v>
      </c>
      <c r="BA1334" s="19" t="s">
        <v>160</v>
      </c>
      <c r="BB1334" s="19"/>
      <c r="BC1334" s="19"/>
      <c r="BD1334" s="19"/>
      <c r="BE1334" s="19"/>
    </row>
    <row r="1335" spans="1:57" x14ac:dyDescent="0.25">
      <c r="A1335" s="6" t="s">
        <v>8</v>
      </c>
      <c r="B1335" s="9">
        <v>98200</v>
      </c>
      <c r="C1335" s="9" t="s">
        <v>2424</v>
      </c>
      <c r="D1335" s="9" t="s">
        <v>1564</v>
      </c>
      <c r="E1335" s="3">
        <v>59.35</v>
      </c>
      <c r="F1335" s="3">
        <v>18.100000000000001</v>
      </c>
      <c r="G1335" s="9">
        <v>20</v>
      </c>
      <c r="H1335" s="9" t="s">
        <v>150</v>
      </c>
      <c r="I1335" s="6" t="s">
        <v>8</v>
      </c>
      <c r="J1335" s="21" t="s">
        <v>8</v>
      </c>
      <c r="K1335" s="3" t="s">
        <v>5</v>
      </c>
      <c r="L1335" s="5" t="s">
        <v>2028</v>
      </c>
      <c r="M1335" s="7" t="s">
        <v>717</v>
      </c>
      <c r="N1335" s="19" t="s">
        <v>2582</v>
      </c>
      <c r="O1335" s="22"/>
      <c r="P1335" s="19" t="s">
        <v>160</v>
      </c>
      <c r="AR1335" s="29"/>
      <c r="AS1335" s="29"/>
      <c r="AT1335" s="19" t="s">
        <v>160</v>
      </c>
      <c r="BB1335" s="19"/>
      <c r="BC1335" s="19"/>
      <c r="BD1335" s="19"/>
      <c r="BE1335" s="19"/>
    </row>
    <row r="1336" spans="1:57" x14ac:dyDescent="0.25">
      <c r="A1336" s="6" t="s">
        <v>8</v>
      </c>
      <c r="B1336" s="9">
        <v>96350</v>
      </c>
      <c r="C1336" s="9" t="s">
        <v>2319</v>
      </c>
      <c r="D1336" s="9" t="s">
        <v>1565</v>
      </c>
      <c r="E1336" s="3">
        <v>59.597200000000001</v>
      </c>
      <c r="F1336" s="3">
        <v>16.600100000000001</v>
      </c>
      <c r="G1336" s="9">
        <v>15.836</v>
      </c>
      <c r="H1336" s="9" t="s">
        <v>151</v>
      </c>
      <c r="I1336" s="21" t="s">
        <v>8</v>
      </c>
      <c r="J1336" s="21" t="s">
        <v>8</v>
      </c>
      <c r="K1336" s="3" t="s">
        <v>5</v>
      </c>
      <c r="L1336" s="5" t="s">
        <v>2028</v>
      </c>
      <c r="M1336" s="5" t="s">
        <v>2653</v>
      </c>
      <c r="N1336" s="19" t="s">
        <v>2583</v>
      </c>
      <c r="O1336" s="22"/>
      <c r="P1336" s="19" t="s">
        <v>160</v>
      </c>
      <c r="AR1336" s="29"/>
      <c r="AS1336" s="29"/>
      <c r="AT1336" s="19" t="s">
        <v>160</v>
      </c>
      <c r="AU1336" s="19" t="s">
        <v>160</v>
      </c>
      <c r="BB1336" s="19"/>
      <c r="BC1336" s="19"/>
      <c r="BD1336" s="19"/>
      <c r="BE1336" s="19"/>
    </row>
    <row r="1337" spans="1:57" x14ac:dyDescent="0.25">
      <c r="A1337" s="6" t="s">
        <v>8</v>
      </c>
      <c r="B1337" s="9">
        <v>96350</v>
      </c>
      <c r="C1337" s="9" t="s">
        <v>2319</v>
      </c>
      <c r="D1337" s="9" t="s">
        <v>1565</v>
      </c>
      <c r="E1337" s="3">
        <v>59.616599999999998</v>
      </c>
      <c r="F1337" s="3">
        <v>16.55</v>
      </c>
      <c r="G1337" s="9">
        <v>10</v>
      </c>
      <c r="H1337" s="9" t="s">
        <v>151</v>
      </c>
      <c r="I1337" s="6" t="s">
        <v>8</v>
      </c>
      <c r="J1337" s="21" t="s">
        <v>8</v>
      </c>
      <c r="K1337" s="3" t="s">
        <v>5</v>
      </c>
      <c r="L1337" s="5" t="s">
        <v>2059</v>
      </c>
      <c r="M1337" s="7" t="s">
        <v>717</v>
      </c>
      <c r="N1337" s="19" t="s">
        <v>2549</v>
      </c>
      <c r="O1337" s="22"/>
      <c r="P1337" s="19" t="s">
        <v>160</v>
      </c>
      <c r="AR1337" s="19" t="s">
        <v>160</v>
      </c>
      <c r="AV1337" s="19" t="s">
        <v>160</v>
      </c>
      <c r="AX1337" s="19" t="s">
        <v>160</v>
      </c>
      <c r="AZ1337" s="19" t="s">
        <v>160</v>
      </c>
      <c r="BB1337" s="19"/>
      <c r="BC1337" s="19"/>
      <c r="BD1337" s="19"/>
      <c r="BE1337" s="19"/>
    </row>
    <row r="1338" spans="1:57" x14ac:dyDescent="0.25">
      <c r="A1338" s="6" t="s">
        <v>8</v>
      </c>
      <c r="B1338" s="9">
        <v>96370</v>
      </c>
      <c r="C1338" s="9" t="s">
        <v>1566</v>
      </c>
      <c r="D1338" s="9" t="s">
        <v>1567</v>
      </c>
      <c r="E1338" s="3">
        <v>59.588799999999999</v>
      </c>
      <c r="F1338" s="3">
        <v>16.629899999999999</v>
      </c>
      <c r="G1338" s="9">
        <v>6</v>
      </c>
      <c r="H1338" s="9" t="s">
        <v>151</v>
      </c>
      <c r="I1338" s="6" t="s">
        <v>8</v>
      </c>
      <c r="J1338" s="21" t="s">
        <v>8</v>
      </c>
      <c r="K1338" s="3" t="s">
        <v>5</v>
      </c>
      <c r="L1338" s="5" t="s">
        <v>2680</v>
      </c>
      <c r="M1338" s="7" t="s">
        <v>717</v>
      </c>
      <c r="N1338" s="19" t="s">
        <v>2550</v>
      </c>
      <c r="O1338" s="22"/>
      <c r="P1338" s="19" t="s">
        <v>160</v>
      </c>
      <c r="AR1338" s="19" t="s">
        <v>160</v>
      </c>
      <c r="AT1338" s="19" t="s">
        <v>160</v>
      </c>
      <c r="AV1338" s="19" t="s">
        <v>160</v>
      </c>
      <c r="AX1338" s="19" t="s">
        <v>160</v>
      </c>
      <c r="AZ1338" s="19" t="s">
        <v>160</v>
      </c>
      <c r="BB1338" s="19"/>
      <c r="BC1338" s="19"/>
      <c r="BD1338" s="19"/>
      <c r="BE1338" s="19"/>
    </row>
    <row r="1339" spans="1:57" x14ac:dyDescent="0.25">
      <c r="A1339" s="9" t="s">
        <v>707</v>
      </c>
      <c r="B1339" s="39" t="s">
        <v>678</v>
      </c>
      <c r="C1339" s="39" t="s">
        <v>932</v>
      </c>
      <c r="D1339" s="40" t="s">
        <v>679</v>
      </c>
      <c r="E1339" s="46" t="s">
        <v>681</v>
      </c>
      <c r="F1339" s="46" t="s">
        <v>680</v>
      </c>
      <c r="G1339" s="40"/>
      <c r="H1339" s="9" t="s">
        <v>150</v>
      </c>
      <c r="I1339" s="41" t="s">
        <v>169</v>
      </c>
      <c r="J1339" s="41" t="s">
        <v>169</v>
      </c>
      <c r="K1339" s="40" t="s">
        <v>5</v>
      </c>
      <c r="L1339" s="41" t="s">
        <v>2043</v>
      </c>
      <c r="M1339" s="7" t="s">
        <v>2653</v>
      </c>
      <c r="V1339" s="42"/>
      <c r="W1339" s="42"/>
      <c r="X1339" s="42"/>
      <c r="Y1339" s="42"/>
      <c r="Z1339" s="42"/>
      <c r="AA1339" s="42"/>
      <c r="AB1339" s="42"/>
      <c r="AC1339" s="42"/>
      <c r="AD1339" s="42"/>
      <c r="AE1339" s="42"/>
      <c r="AF1339" s="42"/>
      <c r="AG1339" s="42"/>
      <c r="AH1339" s="42"/>
      <c r="AI1339" s="42"/>
      <c r="AJ1339" s="42"/>
      <c r="AK1339" s="42"/>
      <c r="AL1339" s="42"/>
      <c r="AM1339" s="42"/>
      <c r="AN1339" s="42"/>
      <c r="AO1339" s="42"/>
      <c r="AP1339" s="42"/>
      <c r="AQ1339" s="42"/>
      <c r="AR1339" s="42" t="s">
        <v>160</v>
      </c>
      <c r="AS1339" s="42" t="s">
        <v>160</v>
      </c>
      <c r="AZ1339" s="42"/>
      <c r="BA1339" s="42"/>
      <c r="BB1339" s="42"/>
      <c r="BC1339" s="42"/>
      <c r="BD1339" s="42"/>
      <c r="BE1339" s="42"/>
    </row>
    <row r="1340" spans="1:57" s="94" customFormat="1" x14ac:dyDescent="0.25">
      <c r="A1340" s="114" t="s">
        <v>2773</v>
      </c>
      <c r="B1340" s="110" t="s">
        <v>2986</v>
      </c>
      <c r="C1340" s="115" t="s">
        <v>932</v>
      </c>
      <c r="D1340" s="153" t="s">
        <v>138</v>
      </c>
      <c r="E1340" s="93">
        <f>57+44/60+50.1648/3600</f>
        <v>57.747267999999998</v>
      </c>
      <c r="F1340" s="93">
        <f>16+44/60+29.8932/3600</f>
        <v>16.741637000000001</v>
      </c>
      <c r="G1340" s="93"/>
      <c r="H1340" s="94" t="s">
        <v>150</v>
      </c>
      <c r="I1340" s="102" t="s">
        <v>169</v>
      </c>
      <c r="J1340" s="102" t="s">
        <v>169</v>
      </c>
      <c r="K1340" s="102" t="s">
        <v>5</v>
      </c>
      <c r="L1340" s="102" t="s">
        <v>2043</v>
      </c>
      <c r="M1340" s="105" t="s">
        <v>2653</v>
      </c>
      <c r="N1340" s="108"/>
      <c r="O1340" s="108"/>
      <c r="P1340" s="108"/>
      <c r="Q1340" s="108" t="s">
        <v>1629</v>
      </c>
      <c r="R1340" s="108"/>
      <c r="S1340" s="108"/>
      <c r="T1340" s="108"/>
      <c r="U1340" s="108"/>
      <c r="V1340" s="108"/>
      <c r="W1340" s="108"/>
      <c r="X1340" s="108"/>
      <c r="Y1340" s="108"/>
      <c r="Z1340" s="108"/>
      <c r="AA1340" s="108"/>
      <c r="AB1340" s="108"/>
      <c r="AC1340" s="108"/>
      <c r="AD1340" s="108"/>
      <c r="AE1340" s="108"/>
      <c r="AF1340" s="108"/>
      <c r="AG1340" s="108"/>
      <c r="AH1340" s="108"/>
      <c r="AI1340" s="108"/>
      <c r="AJ1340" s="108"/>
      <c r="AK1340" s="108"/>
      <c r="AL1340" s="108"/>
      <c r="AM1340" s="108"/>
      <c r="AN1340" s="108"/>
      <c r="AO1340" s="108"/>
      <c r="AP1340" s="108"/>
      <c r="AQ1340" s="108"/>
      <c r="AR1340" s="108" t="s">
        <v>160</v>
      </c>
      <c r="AS1340" s="108" t="s">
        <v>160</v>
      </c>
      <c r="AT1340" s="108"/>
      <c r="AU1340" s="108"/>
      <c r="AV1340" s="108"/>
      <c r="AW1340" s="108"/>
      <c r="AX1340" s="108"/>
      <c r="AY1340" s="108"/>
      <c r="AZ1340" s="108"/>
      <c r="BA1340" s="108"/>
      <c r="BB1340" s="108"/>
      <c r="BC1340" s="108"/>
      <c r="BD1340" s="108"/>
      <c r="BE1340" s="108"/>
    </row>
    <row r="1341" spans="1:57" x14ac:dyDescent="0.25">
      <c r="A1341" s="6" t="s">
        <v>8</v>
      </c>
      <c r="B1341" s="23">
        <v>35189</v>
      </c>
      <c r="C1341" s="39" t="s">
        <v>932</v>
      </c>
      <c r="D1341" s="24" t="s">
        <v>787</v>
      </c>
      <c r="E1341" s="5">
        <f>57+44/60+50.1648/3600</f>
        <v>57.747267999999998</v>
      </c>
      <c r="F1341" s="5">
        <f>16+44/60+29.8932/3600</f>
        <v>16.741637000000001</v>
      </c>
      <c r="G1341" s="5"/>
      <c r="H1341" s="9" t="s">
        <v>150</v>
      </c>
      <c r="I1341" s="24" t="s">
        <v>169</v>
      </c>
      <c r="J1341" s="24" t="s">
        <v>169</v>
      </c>
      <c r="K1341" s="24" t="s">
        <v>5</v>
      </c>
      <c r="L1341" s="24" t="s">
        <v>2043</v>
      </c>
      <c r="M1341" s="7" t="s">
        <v>2653</v>
      </c>
      <c r="Q1341" s="19" t="s">
        <v>1629</v>
      </c>
      <c r="AR1341" s="19" t="s">
        <v>160</v>
      </c>
      <c r="AS1341" s="19" t="s">
        <v>160</v>
      </c>
      <c r="BB1341" s="19"/>
      <c r="BC1341" s="19"/>
      <c r="BD1341" s="19"/>
      <c r="BE1341" s="19"/>
    </row>
    <row r="1342" spans="1:57" x14ac:dyDescent="0.25">
      <c r="A1342" s="9" t="s">
        <v>706</v>
      </c>
      <c r="B1342" s="38">
        <v>93</v>
      </c>
      <c r="C1342" s="39" t="s">
        <v>932</v>
      </c>
      <c r="D1342" s="62" t="s">
        <v>138</v>
      </c>
      <c r="E1342" s="3">
        <f>57+44/60+50/3600</f>
        <v>57.74722222222222</v>
      </c>
      <c r="F1342" s="3">
        <f>16+44/60+30/3600</f>
        <v>16.741666666666667</v>
      </c>
      <c r="G1342" s="5"/>
      <c r="H1342" s="9" t="s">
        <v>150</v>
      </c>
      <c r="I1342" s="7" t="s">
        <v>169</v>
      </c>
      <c r="J1342" s="7" t="s">
        <v>169</v>
      </c>
      <c r="K1342" s="9" t="s">
        <v>5</v>
      </c>
      <c r="L1342" s="7" t="s">
        <v>2043</v>
      </c>
      <c r="M1342" s="7" t="s">
        <v>2653</v>
      </c>
      <c r="AR1342" s="19" t="s">
        <v>160</v>
      </c>
      <c r="AS1342" s="19" t="s">
        <v>160</v>
      </c>
      <c r="BB1342" s="19"/>
      <c r="BC1342" s="19"/>
      <c r="BD1342" s="19"/>
      <c r="BE1342" s="19"/>
    </row>
    <row r="1343" spans="1:57" x14ac:dyDescent="0.25">
      <c r="A1343" s="9" t="s">
        <v>707</v>
      </c>
      <c r="B1343" s="137" t="s">
        <v>682</v>
      </c>
      <c r="C1343" s="23" t="s">
        <v>882</v>
      </c>
      <c r="D1343" s="40" t="s">
        <v>683</v>
      </c>
      <c r="E1343" s="46" t="s">
        <v>685</v>
      </c>
      <c r="F1343" s="46" t="s">
        <v>684</v>
      </c>
      <c r="G1343" s="40"/>
      <c r="H1343" s="9" t="s">
        <v>150</v>
      </c>
      <c r="I1343" s="41" t="s">
        <v>169</v>
      </c>
      <c r="J1343" s="41" t="s">
        <v>169</v>
      </c>
      <c r="K1343" s="40" t="s">
        <v>6</v>
      </c>
      <c r="L1343" s="41" t="s">
        <v>2031</v>
      </c>
      <c r="M1343" s="7" t="s">
        <v>2653</v>
      </c>
      <c r="N1343" s="42" t="s">
        <v>1108</v>
      </c>
      <c r="O1343" s="42" t="s">
        <v>160</v>
      </c>
      <c r="P1343" s="42" t="s">
        <v>160</v>
      </c>
      <c r="Q1343" s="44" t="s">
        <v>1201</v>
      </c>
      <c r="S1343" s="19" t="s">
        <v>160</v>
      </c>
      <c r="T1343" s="19" t="s">
        <v>160</v>
      </c>
      <c r="U1343" s="19">
        <v>2</v>
      </c>
      <c r="V1343" s="42" t="s">
        <v>160</v>
      </c>
      <c r="W1343" s="42" t="s">
        <v>160</v>
      </c>
      <c r="X1343" s="42" t="s">
        <v>160</v>
      </c>
      <c r="Y1343" s="42" t="s">
        <v>160</v>
      </c>
      <c r="Z1343" s="42"/>
      <c r="AA1343" s="42"/>
      <c r="AB1343" s="42"/>
      <c r="AC1343" s="42"/>
      <c r="AD1343" s="42"/>
      <c r="AE1343" s="42"/>
      <c r="AF1343" s="42"/>
      <c r="AG1343" s="42"/>
      <c r="AH1343" s="42"/>
      <c r="AI1343" s="42"/>
      <c r="AJ1343" s="42"/>
      <c r="AK1343" s="42"/>
      <c r="AL1343" s="42"/>
      <c r="AM1343" s="42"/>
      <c r="AN1343" s="42"/>
      <c r="AO1343" s="42"/>
      <c r="AP1343" s="42"/>
      <c r="AQ1343" s="42"/>
      <c r="AR1343" s="42"/>
      <c r="AS1343" s="42"/>
      <c r="AZ1343" s="42"/>
      <c r="BA1343" s="42"/>
      <c r="BB1343" s="42"/>
      <c r="BC1343" s="42"/>
      <c r="BD1343" s="42"/>
      <c r="BE1343" s="42"/>
    </row>
    <row r="1344" spans="1:57" x14ac:dyDescent="0.25">
      <c r="A1344" s="53" t="s">
        <v>2763</v>
      </c>
      <c r="B1344" s="143">
        <v>35151</v>
      </c>
      <c r="C1344" s="85" t="s">
        <v>882</v>
      </c>
      <c r="D1344" s="85" t="s">
        <v>2761</v>
      </c>
      <c r="E1344" s="3">
        <v>57.748334</v>
      </c>
      <c r="F1344" s="3">
        <v>16.675312000000002</v>
      </c>
      <c r="G1344" s="85">
        <v>2.02</v>
      </c>
      <c r="H1344" s="9" t="s">
        <v>150</v>
      </c>
      <c r="I1344" s="14" t="s">
        <v>169</v>
      </c>
      <c r="J1344" s="85" t="s">
        <v>169</v>
      </c>
      <c r="K1344" s="7" t="s">
        <v>6</v>
      </c>
      <c r="L1344" s="7" t="s">
        <v>2031</v>
      </c>
      <c r="M1344" s="7" t="s">
        <v>2653</v>
      </c>
      <c r="N1344" s="42" t="s">
        <v>1108</v>
      </c>
      <c r="O1344" s="42" t="s">
        <v>160</v>
      </c>
      <c r="P1344" s="42" t="s">
        <v>160</v>
      </c>
      <c r="Q1344" s="44" t="s">
        <v>1201</v>
      </c>
      <c r="S1344" s="19" t="s">
        <v>160</v>
      </c>
      <c r="T1344" s="19" t="s">
        <v>160</v>
      </c>
      <c r="U1344" s="42">
        <v>2</v>
      </c>
      <c r="V1344" s="20" t="s">
        <v>160</v>
      </c>
      <c r="W1344" s="20" t="s">
        <v>160</v>
      </c>
      <c r="X1344" s="20" t="s">
        <v>160</v>
      </c>
      <c r="Y1344" s="20" t="s">
        <v>160</v>
      </c>
      <c r="Z1344" s="85"/>
      <c r="AA1344" s="85"/>
      <c r="AB1344" s="85"/>
      <c r="AC1344" s="85"/>
      <c r="AD1344" s="85"/>
      <c r="AE1344" s="85"/>
      <c r="AF1344" s="85"/>
      <c r="AG1344" s="85"/>
      <c r="AH1344" s="85"/>
      <c r="AI1344" s="85"/>
      <c r="AJ1344" s="85"/>
      <c r="AK1344" s="85"/>
      <c r="AL1344" s="85"/>
      <c r="AM1344" s="85"/>
      <c r="AN1344" s="85"/>
      <c r="AO1344" s="85"/>
      <c r="AP1344" s="85"/>
      <c r="AQ1344" s="85"/>
      <c r="AR1344" s="85"/>
      <c r="AS1344" s="85"/>
      <c r="AT1344" s="85"/>
      <c r="AU1344" s="85"/>
      <c r="AV1344" s="85"/>
      <c r="AW1344" s="85"/>
      <c r="AX1344" s="85"/>
      <c r="AY1344" s="85"/>
      <c r="AZ1344" s="85"/>
      <c r="BA1344" s="85"/>
      <c r="BB1344" s="85"/>
      <c r="BC1344" s="85"/>
      <c r="BD1344" s="85"/>
      <c r="BE1344" s="85"/>
    </row>
    <row r="1345" spans="1:57" s="94" customFormat="1" x14ac:dyDescent="0.25">
      <c r="A1345" s="105" t="s">
        <v>2773</v>
      </c>
      <c r="B1345" s="139" t="s">
        <v>2980</v>
      </c>
      <c r="C1345" s="110" t="s">
        <v>882</v>
      </c>
      <c r="D1345" s="163" t="s">
        <v>139</v>
      </c>
      <c r="E1345" s="82">
        <f>57+44/60+53.9916/3600</f>
        <v>57.748331</v>
      </c>
      <c r="F1345" s="82">
        <f>16+40/60+31.1376/3600</f>
        <v>16.675316000000002</v>
      </c>
      <c r="G1345" s="178">
        <v>2.02</v>
      </c>
      <c r="H1345" s="105" t="s">
        <v>150</v>
      </c>
      <c r="I1345" s="105" t="s">
        <v>169</v>
      </c>
      <c r="J1345" s="105" t="s">
        <v>169</v>
      </c>
      <c r="K1345" s="105" t="s">
        <v>6</v>
      </c>
      <c r="L1345" s="105" t="s">
        <v>2031</v>
      </c>
      <c r="M1345" s="105" t="s">
        <v>2653</v>
      </c>
      <c r="N1345" s="106" t="s">
        <v>1108</v>
      </c>
      <c r="O1345" s="106" t="s">
        <v>160</v>
      </c>
      <c r="P1345" s="106" t="s">
        <v>160</v>
      </c>
      <c r="Q1345" s="107" t="s">
        <v>1201</v>
      </c>
      <c r="R1345" s="108"/>
      <c r="S1345" s="108" t="s">
        <v>160</v>
      </c>
      <c r="T1345" s="108" t="s">
        <v>160</v>
      </c>
      <c r="U1345" s="106">
        <v>2</v>
      </c>
      <c r="V1345" s="103" t="s">
        <v>160</v>
      </c>
      <c r="W1345" s="103" t="s">
        <v>160</v>
      </c>
      <c r="X1345" s="103" t="s">
        <v>160</v>
      </c>
      <c r="Y1345" s="103" t="s">
        <v>160</v>
      </c>
      <c r="Z1345" s="103"/>
      <c r="AA1345" s="103"/>
      <c r="AB1345" s="103"/>
      <c r="AC1345" s="103"/>
      <c r="AD1345" s="103"/>
      <c r="AE1345" s="103"/>
      <c r="AF1345" s="103"/>
      <c r="AG1345" s="103"/>
      <c r="AH1345" s="103"/>
      <c r="AI1345" s="103"/>
      <c r="AJ1345" s="103"/>
      <c r="AK1345" s="103"/>
      <c r="AL1345" s="103"/>
      <c r="AM1345" s="103"/>
      <c r="AN1345" s="103"/>
      <c r="AO1345" s="103"/>
      <c r="AP1345" s="103"/>
      <c r="AQ1345" s="103"/>
      <c r="AR1345" s="103"/>
      <c r="AS1345" s="103"/>
      <c r="AT1345" s="103"/>
      <c r="AU1345" s="103"/>
      <c r="AV1345" s="103"/>
      <c r="AW1345" s="103"/>
      <c r="AX1345" s="103"/>
      <c r="AY1345" s="103"/>
      <c r="AZ1345" s="103"/>
      <c r="BA1345" s="103"/>
      <c r="BB1345" s="103"/>
      <c r="BC1345" s="103"/>
      <c r="BD1345" s="103"/>
      <c r="BE1345" s="103"/>
    </row>
    <row r="1346" spans="1:57" x14ac:dyDescent="0.25">
      <c r="A1346" s="7" t="s">
        <v>8</v>
      </c>
      <c r="B1346" s="142">
        <v>35151</v>
      </c>
      <c r="C1346" s="23" t="s">
        <v>882</v>
      </c>
      <c r="D1346" s="24" t="s">
        <v>755</v>
      </c>
      <c r="E1346" s="193">
        <v>57.748199999999997</v>
      </c>
      <c r="F1346" s="193">
        <v>16.674700000000001</v>
      </c>
      <c r="G1346" s="43"/>
      <c r="H1346" s="7" t="s">
        <v>150</v>
      </c>
      <c r="I1346" s="7" t="s">
        <v>169</v>
      </c>
      <c r="J1346" s="7" t="s">
        <v>169</v>
      </c>
      <c r="K1346" s="7" t="s">
        <v>6</v>
      </c>
      <c r="L1346" s="7" t="s">
        <v>2031</v>
      </c>
      <c r="M1346" s="7" t="s">
        <v>2653</v>
      </c>
      <c r="N1346" s="42" t="s">
        <v>1108</v>
      </c>
      <c r="O1346" s="42" t="s">
        <v>160</v>
      </c>
      <c r="P1346" s="42" t="s">
        <v>160</v>
      </c>
      <c r="Q1346" s="44" t="s">
        <v>1201</v>
      </c>
      <c r="S1346" s="19" t="s">
        <v>160</v>
      </c>
      <c r="T1346" s="19" t="s">
        <v>160</v>
      </c>
      <c r="U1346" s="42">
        <v>2</v>
      </c>
      <c r="V1346" s="20" t="s">
        <v>160</v>
      </c>
      <c r="W1346" s="20" t="s">
        <v>160</v>
      </c>
      <c r="X1346" s="20" t="s">
        <v>160</v>
      </c>
      <c r="Y1346" s="20" t="s">
        <v>160</v>
      </c>
      <c r="Z1346" s="20"/>
      <c r="AA1346" s="20"/>
      <c r="AB1346" s="20"/>
      <c r="AC1346" s="20"/>
      <c r="AD1346" s="20"/>
      <c r="AE1346" s="20"/>
      <c r="AF1346" s="20"/>
      <c r="AG1346" s="20"/>
      <c r="AH1346" s="20"/>
      <c r="AI1346" s="20"/>
      <c r="AJ1346" s="20"/>
      <c r="AK1346" s="20"/>
      <c r="AL1346" s="20"/>
      <c r="AM1346" s="20"/>
      <c r="AN1346" s="20"/>
      <c r="AO1346" s="20"/>
      <c r="AP1346" s="20"/>
      <c r="AQ1346" s="20"/>
      <c r="AR1346" s="20"/>
      <c r="AS1346" s="20"/>
      <c r="AT1346" s="20"/>
      <c r="AU1346" s="20"/>
      <c r="AV1346" s="20"/>
      <c r="AW1346" s="20"/>
      <c r="AX1346" s="20"/>
      <c r="AY1346" s="20"/>
      <c r="AZ1346" s="20"/>
      <c r="BA1346" s="20"/>
      <c r="BB1346" s="20"/>
      <c r="BC1346" s="20"/>
      <c r="BD1346" s="20"/>
      <c r="BE1346" s="20"/>
    </row>
    <row r="1347" spans="1:57" x14ac:dyDescent="0.25">
      <c r="A1347" s="9" t="s">
        <v>706</v>
      </c>
      <c r="B1347" s="140">
        <v>149</v>
      </c>
      <c r="C1347" s="23" t="s">
        <v>882</v>
      </c>
      <c r="D1347" s="88" t="s">
        <v>139</v>
      </c>
      <c r="E1347" s="3">
        <f>57+44/60+53/3600</f>
        <v>57.74805555555556</v>
      </c>
      <c r="F1347" s="3">
        <f>16+40/60+29/3600</f>
        <v>16.674722222222222</v>
      </c>
      <c r="G1347" s="43"/>
      <c r="H1347" s="9" t="s">
        <v>150</v>
      </c>
      <c r="I1347" s="7" t="s">
        <v>169</v>
      </c>
      <c r="J1347" s="7" t="s">
        <v>169</v>
      </c>
      <c r="K1347" s="9" t="s">
        <v>6</v>
      </c>
      <c r="L1347" s="7" t="s">
        <v>2031</v>
      </c>
      <c r="M1347" s="7" t="s">
        <v>2653</v>
      </c>
      <c r="N1347" s="42" t="s">
        <v>1108</v>
      </c>
      <c r="O1347" s="42" t="s">
        <v>160</v>
      </c>
      <c r="P1347" s="42" t="s">
        <v>160</v>
      </c>
      <c r="Q1347" s="44" t="s">
        <v>1201</v>
      </c>
      <c r="S1347" s="19" t="s">
        <v>160</v>
      </c>
      <c r="T1347" s="19" t="s">
        <v>160</v>
      </c>
      <c r="U1347" s="19">
        <v>2</v>
      </c>
      <c r="V1347" s="19" t="s">
        <v>160</v>
      </c>
      <c r="W1347" s="19" t="s">
        <v>160</v>
      </c>
      <c r="X1347" s="19" t="s">
        <v>160</v>
      </c>
      <c r="Y1347" s="19" t="s">
        <v>160</v>
      </c>
      <c r="BB1347" s="19"/>
      <c r="BC1347" s="19"/>
      <c r="BD1347" s="19"/>
      <c r="BE1347" s="19"/>
    </row>
    <row r="1348" spans="1:57" s="94" customFormat="1" x14ac:dyDescent="0.25">
      <c r="A1348" s="98" t="s">
        <v>2773</v>
      </c>
      <c r="B1348" s="135">
        <v>2078</v>
      </c>
      <c r="C1348" s="98" t="s">
        <v>1578</v>
      </c>
      <c r="D1348" s="98" t="s">
        <v>755</v>
      </c>
      <c r="E1348" s="189">
        <f>57+45/60+36/3600</f>
        <v>57.76</v>
      </c>
      <c r="F1348" s="189">
        <f>16+38/60+24/3600</f>
        <v>16.64</v>
      </c>
      <c r="G1348" s="101"/>
      <c r="H1348" s="98" t="s">
        <v>150</v>
      </c>
      <c r="I1348" s="98" t="s">
        <v>8</v>
      </c>
      <c r="J1348" s="102" t="s">
        <v>8</v>
      </c>
      <c r="K1348" s="98" t="s">
        <v>6</v>
      </c>
      <c r="L1348" s="102" t="s">
        <v>2030</v>
      </c>
      <c r="M1348" s="102" t="s">
        <v>717</v>
      </c>
      <c r="N1348" s="104" t="s">
        <v>1302</v>
      </c>
      <c r="O1348" s="104"/>
      <c r="P1348" s="104"/>
      <c r="Q1348" s="107" t="s">
        <v>1201</v>
      </c>
      <c r="R1348" s="103"/>
      <c r="S1348" s="103"/>
      <c r="T1348" s="103"/>
      <c r="U1348" s="104">
        <v>4</v>
      </c>
      <c r="V1348" s="103" t="s">
        <v>160</v>
      </c>
      <c r="W1348" s="103"/>
      <c r="X1348" s="103"/>
      <c r="Y1348" s="103"/>
      <c r="Z1348" s="103"/>
      <c r="AA1348" s="103"/>
      <c r="AB1348" s="103"/>
      <c r="AC1348" s="103"/>
      <c r="AD1348" s="103"/>
      <c r="AE1348" s="103"/>
      <c r="AF1348" s="103"/>
      <c r="AG1348" s="103"/>
      <c r="AH1348" s="103"/>
      <c r="AI1348" s="103"/>
      <c r="AJ1348" s="103"/>
      <c r="AK1348" s="103"/>
      <c r="AL1348" s="103"/>
      <c r="AM1348" s="103"/>
      <c r="AN1348" s="103"/>
      <c r="AO1348" s="103"/>
      <c r="AP1348" s="103"/>
      <c r="AQ1348" s="103"/>
      <c r="AR1348" s="103"/>
      <c r="AS1348" s="103"/>
      <c r="AT1348" s="103"/>
      <c r="AU1348" s="103"/>
      <c r="AV1348" s="103"/>
      <c r="AW1348" s="103"/>
      <c r="AX1348" s="103"/>
      <c r="AY1348" s="103"/>
      <c r="AZ1348" s="103"/>
      <c r="BA1348" s="103"/>
      <c r="BB1348" s="103"/>
      <c r="BC1348" s="103"/>
      <c r="BD1348" s="103"/>
      <c r="BE1348" s="103"/>
    </row>
    <row r="1349" spans="1:57" x14ac:dyDescent="0.25">
      <c r="A1349" s="10" t="s">
        <v>8</v>
      </c>
      <c r="B1349" s="155">
        <v>2078</v>
      </c>
      <c r="C1349" s="10" t="s">
        <v>1578</v>
      </c>
      <c r="D1349" s="10" t="s">
        <v>755</v>
      </c>
      <c r="E1349" s="203">
        <f>57+45/60+36/3600</f>
        <v>57.76</v>
      </c>
      <c r="F1349" s="203">
        <f>16+38/60+24/3600</f>
        <v>16.64</v>
      </c>
      <c r="G1349" s="30"/>
      <c r="H1349" s="10" t="s">
        <v>150</v>
      </c>
      <c r="I1349" s="10" t="s">
        <v>8</v>
      </c>
      <c r="J1349" s="24" t="s">
        <v>8</v>
      </c>
      <c r="K1349" s="10" t="s">
        <v>6</v>
      </c>
      <c r="L1349" s="24" t="s">
        <v>2030</v>
      </c>
      <c r="M1349" s="24" t="s">
        <v>717</v>
      </c>
      <c r="N1349" s="22" t="s">
        <v>1302</v>
      </c>
      <c r="O1349" s="22"/>
      <c r="P1349" s="22"/>
      <c r="Q1349" s="44" t="s">
        <v>1201</v>
      </c>
      <c r="R1349" s="20"/>
      <c r="S1349" s="20"/>
      <c r="T1349" s="20"/>
      <c r="U1349" s="22">
        <v>4</v>
      </c>
      <c r="V1349" s="20" t="s">
        <v>160</v>
      </c>
      <c r="W1349" s="20"/>
      <c r="X1349" s="20"/>
      <c r="Y1349" s="20"/>
      <c r="Z1349" s="20"/>
      <c r="AA1349" s="20"/>
      <c r="AB1349" s="20"/>
      <c r="AC1349" s="20"/>
      <c r="AD1349" s="20"/>
      <c r="AE1349" s="20"/>
      <c r="AF1349" s="20"/>
      <c r="AG1349" s="20"/>
      <c r="AH1349" s="20"/>
      <c r="AI1349" s="20"/>
      <c r="AJ1349" s="20"/>
      <c r="AK1349" s="20"/>
      <c r="AL1349" s="20"/>
      <c r="AM1349" s="20"/>
      <c r="AN1349" s="20"/>
      <c r="AO1349" s="20"/>
      <c r="AP1349" s="20"/>
      <c r="AQ1349" s="20"/>
      <c r="AR1349" s="20"/>
      <c r="AS1349" s="20"/>
      <c r="AT1349" s="20"/>
      <c r="AU1349" s="20"/>
      <c r="AV1349" s="20"/>
      <c r="AW1349" s="20"/>
      <c r="AX1349" s="20"/>
      <c r="AY1349" s="20"/>
      <c r="AZ1349" s="20"/>
      <c r="BA1349" s="20"/>
      <c r="BB1349" s="20"/>
      <c r="BC1349" s="20"/>
      <c r="BD1349" s="20"/>
      <c r="BE1349" s="20"/>
    </row>
    <row r="1350" spans="1:57" x14ac:dyDescent="0.25">
      <c r="A1350" s="6" t="s">
        <v>8</v>
      </c>
      <c r="B1350" s="9">
        <v>76470</v>
      </c>
      <c r="C1350" s="7" t="s">
        <v>2239</v>
      </c>
      <c r="D1350" s="9" t="s">
        <v>755</v>
      </c>
      <c r="E1350" s="3">
        <v>57.721299999999999</v>
      </c>
      <c r="F1350" s="3">
        <v>16.468299999999999</v>
      </c>
      <c r="G1350" s="9">
        <v>33</v>
      </c>
      <c r="H1350" s="3"/>
      <c r="I1350" s="6" t="s">
        <v>8</v>
      </c>
      <c r="J1350" s="21" t="s">
        <v>8</v>
      </c>
      <c r="K1350" s="3" t="s">
        <v>5</v>
      </c>
      <c r="L1350" s="5" t="s">
        <v>2680</v>
      </c>
      <c r="M1350" s="5" t="s">
        <v>717</v>
      </c>
      <c r="N1350" s="19" t="s">
        <v>2551</v>
      </c>
      <c r="O1350" s="22"/>
      <c r="P1350" s="19" t="s">
        <v>160</v>
      </c>
      <c r="V1350" s="29"/>
      <c r="W1350" s="29"/>
      <c r="X1350" s="29"/>
      <c r="Y1350" s="29"/>
      <c r="Z1350" s="29"/>
      <c r="AA1350" s="29"/>
      <c r="AB1350" s="29"/>
      <c r="AC1350" s="29"/>
      <c r="AD1350" s="29"/>
      <c r="AE1350" s="29"/>
      <c r="AF1350" s="29"/>
      <c r="AG1350" s="29"/>
      <c r="AH1350" s="29"/>
      <c r="AI1350" s="29"/>
      <c r="AJ1350" s="29"/>
      <c r="AK1350" s="29"/>
      <c r="AL1350" s="29"/>
      <c r="AM1350" s="29"/>
      <c r="AN1350" s="29"/>
      <c r="AO1350" s="29"/>
      <c r="AP1350" s="29"/>
      <c r="AQ1350" s="29"/>
      <c r="AR1350" s="19" t="s">
        <v>160</v>
      </c>
      <c r="AT1350" s="19" t="s">
        <v>160</v>
      </c>
      <c r="AV1350" s="19" t="s">
        <v>160</v>
      </c>
      <c r="AX1350" s="19" t="s">
        <v>160</v>
      </c>
      <c r="AZ1350" s="19" t="s">
        <v>160</v>
      </c>
      <c r="BB1350" s="19"/>
      <c r="BC1350" s="19"/>
      <c r="BD1350" s="19"/>
      <c r="BE1350" s="19"/>
    </row>
    <row r="1351" spans="1:57" x14ac:dyDescent="0.25">
      <c r="A1351" s="9" t="s">
        <v>8</v>
      </c>
      <c r="B1351" s="27">
        <v>37136</v>
      </c>
      <c r="C1351" s="28" t="s">
        <v>1967</v>
      </c>
      <c r="D1351" s="28" t="s">
        <v>1724</v>
      </c>
      <c r="E1351" s="25">
        <v>60.883299999999998</v>
      </c>
      <c r="F1351" s="25">
        <v>17.916699999999999</v>
      </c>
      <c r="H1351" s="9" t="s">
        <v>150</v>
      </c>
      <c r="I1351" s="40" t="s">
        <v>8</v>
      </c>
      <c r="J1351" s="41" t="s">
        <v>8</v>
      </c>
      <c r="K1351" s="6" t="s">
        <v>2455</v>
      </c>
      <c r="L1351" s="7" t="s">
        <v>2027</v>
      </c>
      <c r="M1351" s="28" t="s">
        <v>717</v>
      </c>
      <c r="N1351" s="19" t="s">
        <v>1825</v>
      </c>
      <c r="O1351" s="22"/>
      <c r="T1351" s="7"/>
      <c r="X1351" s="19" t="s">
        <v>160</v>
      </c>
      <c r="BA1351" s="7"/>
      <c r="BB1351" s="7"/>
      <c r="BC1351" s="7"/>
      <c r="BD1351" s="7"/>
      <c r="BE1351" s="7"/>
    </row>
    <row r="1352" spans="1:57" x14ac:dyDescent="0.25">
      <c r="A1352" s="6" t="s">
        <v>8</v>
      </c>
      <c r="B1352" s="9">
        <v>107530</v>
      </c>
      <c r="C1352" s="9" t="s">
        <v>1568</v>
      </c>
      <c r="D1352" s="9" t="s">
        <v>1569</v>
      </c>
      <c r="E1352" s="3">
        <v>60.88</v>
      </c>
      <c r="F1352" s="3">
        <v>17.93</v>
      </c>
      <c r="G1352" s="9">
        <v>25</v>
      </c>
      <c r="H1352" s="9" t="s">
        <v>150</v>
      </c>
      <c r="I1352" s="6" t="s">
        <v>8</v>
      </c>
      <c r="J1352" s="21" t="s">
        <v>8</v>
      </c>
      <c r="K1352" s="3" t="s">
        <v>5</v>
      </c>
      <c r="L1352" s="5" t="s">
        <v>2680</v>
      </c>
      <c r="M1352" s="7" t="s">
        <v>717</v>
      </c>
      <c r="N1352" s="19" t="s">
        <v>2552</v>
      </c>
      <c r="O1352" s="22"/>
      <c r="P1352" s="19" t="s">
        <v>160</v>
      </c>
      <c r="AR1352" s="19" t="s">
        <v>160</v>
      </c>
      <c r="AT1352" s="19" t="s">
        <v>160</v>
      </c>
      <c r="AV1352" s="19" t="s">
        <v>160</v>
      </c>
      <c r="AX1352" s="19" t="s">
        <v>160</v>
      </c>
      <c r="AZ1352" s="19" t="s">
        <v>160</v>
      </c>
      <c r="BB1352" s="19"/>
      <c r="BC1352" s="19"/>
      <c r="BD1352" s="19"/>
      <c r="BE1352" s="19"/>
    </row>
    <row r="1353" spans="1:57" x14ac:dyDescent="0.25">
      <c r="A1353" s="6" t="s">
        <v>8</v>
      </c>
      <c r="B1353" s="9">
        <v>52550</v>
      </c>
      <c r="C1353" s="9" t="s">
        <v>2318</v>
      </c>
      <c r="D1353" s="9" t="s">
        <v>1092</v>
      </c>
      <c r="E1353" s="3">
        <v>55.9</v>
      </c>
      <c r="F1353" s="3">
        <v>12.7166</v>
      </c>
      <c r="G1353" s="9">
        <v>20</v>
      </c>
      <c r="H1353" s="9" t="s">
        <v>150</v>
      </c>
      <c r="I1353" s="6" t="s">
        <v>8</v>
      </c>
      <c r="J1353" s="21" t="s">
        <v>8</v>
      </c>
      <c r="K1353" s="3" t="s">
        <v>5</v>
      </c>
      <c r="L1353" s="5" t="s">
        <v>2681</v>
      </c>
      <c r="M1353" s="7" t="s">
        <v>717</v>
      </c>
      <c r="N1353" s="19" t="s">
        <v>2553</v>
      </c>
      <c r="O1353" s="22"/>
      <c r="P1353" s="19" t="s">
        <v>160</v>
      </c>
      <c r="AR1353" s="19" t="s">
        <v>160</v>
      </c>
      <c r="AT1353" s="19" t="s">
        <v>160</v>
      </c>
      <c r="AX1353" s="19" t="s">
        <v>160</v>
      </c>
      <c r="AZ1353" s="19" t="s">
        <v>160</v>
      </c>
      <c r="BB1353" s="19"/>
      <c r="BC1353" s="19"/>
      <c r="BD1353" s="19"/>
      <c r="BE1353" s="19"/>
    </row>
    <row r="1354" spans="1:57" x14ac:dyDescent="0.25">
      <c r="A1354" s="9" t="s">
        <v>8</v>
      </c>
      <c r="B1354" s="26">
        <v>33049</v>
      </c>
      <c r="C1354" s="24" t="s">
        <v>2317</v>
      </c>
      <c r="D1354" s="24" t="s">
        <v>1093</v>
      </c>
      <c r="E1354" s="25">
        <v>55.866669999999999</v>
      </c>
      <c r="F1354" s="25">
        <v>12.748329999999999</v>
      </c>
      <c r="H1354" s="9" t="s">
        <v>150</v>
      </c>
      <c r="I1354" s="7" t="s">
        <v>8</v>
      </c>
      <c r="J1354" s="7" t="s">
        <v>8</v>
      </c>
      <c r="K1354" s="9" t="s">
        <v>951</v>
      </c>
      <c r="L1354" s="7" t="s">
        <v>2033</v>
      </c>
      <c r="M1354" s="7" t="s">
        <v>2653</v>
      </c>
      <c r="N1354" s="42" t="s">
        <v>1135</v>
      </c>
      <c r="O1354" s="22"/>
      <c r="P1354" s="42"/>
      <c r="U1354" s="42"/>
      <c r="X1354" s="19" t="s">
        <v>160</v>
      </c>
      <c r="Y1354" s="19" t="s">
        <v>160</v>
      </c>
      <c r="Z1354" s="19" t="s">
        <v>160</v>
      </c>
      <c r="AA1354" s="19" t="s">
        <v>160</v>
      </c>
      <c r="AB1354" s="19" t="s">
        <v>160</v>
      </c>
      <c r="AC1354" s="19" t="s">
        <v>160</v>
      </c>
      <c r="BB1354" s="19"/>
      <c r="BC1354" s="19"/>
      <c r="BD1354" s="19"/>
      <c r="BE1354" s="19"/>
    </row>
    <row r="1355" spans="1:57" x14ac:dyDescent="0.25">
      <c r="A1355" s="9" t="s">
        <v>707</v>
      </c>
      <c r="B1355" s="137" t="s">
        <v>652</v>
      </c>
      <c r="C1355" s="23" t="s">
        <v>881</v>
      </c>
      <c r="D1355" s="40" t="s">
        <v>653</v>
      </c>
      <c r="E1355" s="46" t="s">
        <v>655</v>
      </c>
      <c r="F1355" s="46" t="s">
        <v>654</v>
      </c>
      <c r="G1355" s="40"/>
      <c r="H1355" s="9" t="s">
        <v>150</v>
      </c>
      <c r="I1355" s="41" t="s">
        <v>656</v>
      </c>
      <c r="J1355" s="7" t="s">
        <v>169</v>
      </c>
      <c r="K1355" s="40" t="s">
        <v>40</v>
      </c>
      <c r="L1355" s="41" t="s">
        <v>2704</v>
      </c>
      <c r="M1355" s="7" t="s">
        <v>2653</v>
      </c>
      <c r="N1355" s="19" t="s">
        <v>2633</v>
      </c>
      <c r="O1355" s="42" t="s">
        <v>160</v>
      </c>
      <c r="Q1355" s="19" t="s">
        <v>1681</v>
      </c>
      <c r="U1355" s="19">
        <v>3</v>
      </c>
      <c r="V1355" s="42" t="s">
        <v>160</v>
      </c>
      <c r="W1355" s="42" t="s">
        <v>160</v>
      </c>
      <c r="X1355" s="42" t="s">
        <v>160</v>
      </c>
      <c r="Y1355" s="42" t="s">
        <v>160</v>
      </c>
      <c r="Z1355" s="42"/>
      <c r="AA1355" s="42"/>
      <c r="AB1355" s="42"/>
      <c r="AC1355" s="42"/>
      <c r="AD1355" s="42"/>
      <c r="AE1355" s="42"/>
      <c r="AF1355" s="42"/>
      <c r="AG1355" s="42"/>
      <c r="AH1355" s="42"/>
      <c r="AI1355" s="42"/>
      <c r="AJ1355" s="42"/>
      <c r="AK1355" s="42"/>
      <c r="AL1355" s="42"/>
      <c r="AM1355" s="42"/>
      <c r="AN1355" s="42"/>
      <c r="AO1355" s="42"/>
      <c r="AP1355" s="42"/>
      <c r="AQ1355" s="42"/>
      <c r="AR1355" s="42" t="s">
        <v>160</v>
      </c>
      <c r="AS1355" s="42" t="s">
        <v>160</v>
      </c>
      <c r="AT1355" s="19" t="s">
        <v>160</v>
      </c>
      <c r="AU1355" s="19" t="s">
        <v>160</v>
      </c>
      <c r="AV1355" s="19" t="s">
        <v>160</v>
      </c>
      <c r="AW1355" s="19" t="s">
        <v>160</v>
      </c>
      <c r="AX1355" s="19" t="s">
        <v>160</v>
      </c>
      <c r="AY1355" s="19" t="s">
        <v>160</v>
      </c>
      <c r="AZ1355" s="42"/>
      <c r="BA1355" s="42"/>
      <c r="BB1355" s="42"/>
      <c r="BC1355" s="42"/>
      <c r="BD1355" s="42"/>
      <c r="BE1355" s="42"/>
    </row>
    <row r="1356" spans="1:57" x14ac:dyDescent="0.25">
      <c r="A1356" s="53" t="s">
        <v>2763</v>
      </c>
      <c r="B1356" s="143">
        <v>35219</v>
      </c>
      <c r="C1356" s="85" t="s">
        <v>881</v>
      </c>
      <c r="D1356" s="85" t="s">
        <v>2645</v>
      </c>
      <c r="E1356" s="35">
        <f>56+9/60+59.959/3600</f>
        <v>56.166655277777778</v>
      </c>
      <c r="F1356" s="35">
        <f>15+37/60+44.018/3600</f>
        <v>15.628893888888889</v>
      </c>
      <c r="G1356" s="85"/>
      <c r="H1356" s="9" t="s">
        <v>150</v>
      </c>
      <c r="I1356" s="41" t="s">
        <v>656</v>
      </c>
      <c r="J1356" s="85" t="s">
        <v>169</v>
      </c>
      <c r="K1356" s="7" t="s">
        <v>6</v>
      </c>
      <c r="L1356" s="7" t="s">
        <v>2031</v>
      </c>
      <c r="M1356" s="7" t="s">
        <v>2653</v>
      </c>
      <c r="N1356" s="19" t="s">
        <v>2633</v>
      </c>
      <c r="O1356" s="42" t="s">
        <v>160</v>
      </c>
      <c r="Q1356" s="19" t="s">
        <v>1681</v>
      </c>
      <c r="U1356" s="19">
        <v>3</v>
      </c>
      <c r="V1356" s="19" t="s">
        <v>160</v>
      </c>
      <c r="W1356" s="19" t="s">
        <v>160</v>
      </c>
      <c r="X1356" s="19" t="s">
        <v>160</v>
      </c>
      <c r="Y1356" s="19" t="s">
        <v>160</v>
      </c>
      <c r="AR1356" s="19" t="s">
        <v>160</v>
      </c>
      <c r="AS1356" s="19" t="s">
        <v>160</v>
      </c>
      <c r="AT1356" s="19" t="s">
        <v>160</v>
      </c>
      <c r="AU1356" s="19" t="s">
        <v>160</v>
      </c>
      <c r="AV1356" s="19" t="s">
        <v>160</v>
      </c>
      <c r="AW1356" s="19" t="s">
        <v>160</v>
      </c>
      <c r="AX1356" s="19" t="s">
        <v>160</v>
      </c>
      <c r="AY1356" s="19" t="s">
        <v>160</v>
      </c>
      <c r="AZ1356" s="85"/>
      <c r="BA1356" s="85"/>
      <c r="BB1356" s="85"/>
      <c r="BC1356" s="85"/>
      <c r="BD1356" s="85"/>
      <c r="BE1356" s="85"/>
    </row>
    <row r="1357" spans="1:57" s="105" customFormat="1" x14ac:dyDescent="0.25">
      <c r="A1357" s="105" t="s">
        <v>2773</v>
      </c>
      <c r="B1357" s="141" t="s">
        <v>2823</v>
      </c>
      <c r="C1357" s="110" t="s">
        <v>881</v>
      </c>
      <c r="D1357" s="163" t="s">
        <v>2645</v>
      </c>
      <c r="E1357" s="120">
        <f>56+9/60+59.959/3600</f>
        <v>56.166655277777778</v>
      </c>
      <c r="F1357" s="120">
        <f>15+37/60+44.018/3600</f>
        <v>15.628893888888889</v>
      </c>
      <c r="G1357" s="93"/>
      <c r="H1357" s="105" t="s">
        <v>150</v>
      </c>
      <c r="I1357" s="113" t="s">
        <v>656</v>
      </c>
      <c r="J1357" s="105" t="s">
        <v>169</v>
      </c>
      <c r="K1357" s="105" t="s">
        <v>40</v>
      </c>
      <c r="L1357" s="105" t="s">
        <v>2704</v>
      </c>
      <c r="M1357" s="105" t="s">
        <v>2653</v>
      </c>
      <c r="N1357" s="108" t="s">
        <v>2633</v>
      </c>
      <c r="O1357" s="106" t="s">
        <v>160</v>
      </c>
      <c r="P1357" s="108"/>
      <c r="Q1357" s="108" t="s">
        <v>1681</v>
      </c>
      <c r="R1357" s="108"/>
      <c r="S1357" s="108"/>
      <c r="T1357" s="108"/>
      <c r="U1357" s="108">
        <v>3</v>
      </c>
      <c r="V1357" s="108" t="s">
        <v>160</v>
      </c>
      <c r="W1357" s="108" t="s">
        <v>160</v>
      </c>
      <c r="X1357" s="108" t="s">
        <v>160</v>
      </c>
      <c r="Y1357" s="108" t="s">
        <v>160</v>
      </c>
      <c r="Z1357" s="108"/>
      <c r="AA1357" s="108"/>
      <c r="AB1357" s="108"/>
      <c r="AC1357" s="108"/>
      <c r="AD1357" s="108"/>
      <c r="AE1357" s="108"/>
      <c r="AF1357" s="108"/>
      <c r="AG1357" s="108"/>
      <c r="AH1357" s="108"/>
      <c r="AI1357" s="108"/>
      <c r="AJ1357" s="108"/>
      <c r="AK1357" s="108"/>
      <c r="AL1357" s="108"/>
      <c r="AM1357" s="108"/>
      <c r="AN1357" s="108"/>
      <c r="AO1357" s="108"/>
      <c r="AP1357" s="108"/>
      <c r="AQ1357" s="108"/>
      <c r="AR1357" s="108" t="s">
        <v>160</v>
      </c>
      <c r="AS1357" s="108" t="s">
        <v>160</v>
      </c>
      <c r="AT1357" s="108" t="s">
        <v>160</v>
      </c>
      <c r="AU1357" s="108" t="s">
        <v>160</v>
      </c>
      <c r="AV1357" s="108" t="s">
        <v>160</v>
      </c>
      <c r="AW1357" s="108" t="s">
        <v>160</v>
      </c>
      <c r="AX1357" s="108" t="s">
        <v>160</v>
      </c>
      <c r="AY1357" s="108" t="s">
        <v>160</v>
      </c>
      <c r="AZ1357" s="108"/>
      <c r="BA1357" s="108"/>
      <c r="BB1357" s="108"/>
      <c r="BC1357" s="108"/>
      <c r="BD1357" s="108"/>
      <c r="BE1357" s="108"/>
    </row>
    <row r="1358" spans="1:57" s="7" customFormat="1" x14ac:dyDescent="0.25">
      <c r="A1358" s="7" t="s">
        <v>8</v>
      </c>
      <c r="B1358" s="138" t="s">
        <v>2976</v>
      </c>
      <c r="C1358" s="23" t="s">
        <v>881</v>
      </c>
      <c r="D1358" s="23" t="s">
        <v>2645</v>
      </c>
      <c r="E1358" s="193">
        <v>56.166699999999999</v>
      </c>
      <c r="F1358" s="193">
        <v>15.6289</v>
      </c>
      <c r="G1358" s="5"/>
      <c r="H1358" s="7" t="s">
        <v>150</v>
      </c>
      <c r="I1358" s="41" t="s">
        <v>656</v>
      </c>
      <c r="J1358" s="7" t="s">
        <v>169</v>
      </c>
      <c r="K1358" s="7" t="s">
        <v>40</v>
      </c>
      <c r="L1358" s="7" t="s">
        <v>2704</v>
      </c>
      <c r="M1358" s="7" t="s">
        <v>2653</v>
      </c>
      <c r="N1358" s="19" t="s">
        <v>2633</v>
      </c>
      <c r="O1358" s="42" t="s">
        <v>160</v>
      </c>
      <c r="P1358" s="19"/>
      <c r="Q1358" s="19" t="s">
        <v>1681</v>
      </c>
      <c r="R1358" s="19"/>
      <c r="S1358" s="19"/>
      <c r="T1358" s="19"/>
      <c r="U1358" s="19">
        <v>3</v>
      </c>
      <c r="V1358" s="19" t="s">
        <v>160</v>
      </c>
      <c r="W1358" s="19" t="s">
        <v>160</v>
      </c>
      <c r="X1358" s="19" t="s">
        <v>160</v>
      </c>
      <c r="Y1358" s="19" t="s">
        <v>160</v>
      </c>
      <c r="Z1358" s="19"/>
      <c r="AA1358" s="19"/>
      <c r="AB1358" s="19"/>
      <c r="AC1358" s="19"/>
      <c r="AD1358" s="19"/>
      <c r="AE1358" s="19"/>
      <c r="AF1358" s="19"/>
      <c r="AG1358" s="19"/>
      <c r="AH1358" s="19"/>
      <c r="AI1358" s="19"/>
      <c r="AJ1358" s="19"/>
      <c r="AK1358" s="19"/>
      <c r="AL1358" s="19"/>
      <c r="AM1358" s="19"/>
      <c r="AN1358" s="19"/>
      <c r="AO1358" s="19"/>
      <c r="AP1358" s="19"/>
      <c r="AQ1358" s="19"/>
      <c r="AR1358" s="19" t="s">
        <v>160</v>
      </c>
      <c r="AS1358" s="19" t="s">
        <v>160</v>
      </c>
      <c r="AT1358" s="19" t="s">
        <v>160</v>
      </c>
      <c r="AU1358" s="19" t="s">
        <v>160</v>
      </c>
      <c r="AV1358" s="19" t="s">
        <v>160</v>
      </c>
      <c r="AW1358" s="19" t="s">
        <v>160</v>
      </c>
      <c r="AX1358" s="19" t="s">
        <v>160</v>
      </c>
      <c r="AY1358" s="19" t="s">
        <v>160</v>
      </c>
      <c r="AZ1358" s="19"/>
      <c r="BA1358" s="19"/>
      <c r="BB1358" s="19"/>
      <c r="BC1358" s="19"/>
      <c r="BD1358" s="19"/>
      <c r="BE1358" s="19"/>
    </row>
    <row r="1359" spans="1:57" x14ac:dyDescent="0.25">
      <c r="A1359" s="9" t="s">
        <v>706</v>
      </c>
      <c r="B1359" s="140">
        <v>177</v>
      </c>
      <c r="C1359" s="23" t="s">
        <v>881</v>
      </c>
      <c r="D1359" s="88" t="s">
        <v>132</v>
      </c>
      <c r="E1359" s="25">
        <f>56+9/60+52/3600</f>
        <v>56.164444444444442</v>
      </c>
      <c r="F1359" s="25">
        <f>15+37/60+44/3600</f>
        <v>15.628888888888889</v>
      </c>
      <c r="G1359" s="35"/>
      <c r="H1359" s="9" t="s">
        <v>150</v>
      </c>
      <c r="I1359" s="41" t="s">
        <v>656</v>
      </c>
      <c r="J1359" s="7" t="s">
        <v>169</v>
      </c>
      <c r="K1359" s="9" t="s">
        <v>40</v>
      </c>
      <c r="L1359" s="7" t="s">
        <v>2704</v>
      </c>
      <c r="M1359" s="7" t="s">
        <v>2653</v>
      </c>
      <c r="N1359" s="19" t="s">
        <v>2633</v>
      </c>
      <c r="O1359" s="42" t="s">
        <v>160</v>
      </c>
      <c r="Q1359" s="19" t="s">
        <v>1681</v>
      </c>
      <c r="U1359" s="19">
        <v>3</v>
      </c>
      <c r="V1359" s="19" t="s">
        <v>160</v>
      </c>
      <c r="W1359" s="19" t="s">
        <v>160</v>
      </c>
      <c r="X1359" s="19" t="s">
        <v>160</v>
      </c>
      <c r="Y1359" s="19" t="s">
        <v>160</v>
      </c>
      <c r="AR1359" s="19" t="s">
        <v>160</v>
      </c>
      <c r="AS1359" s="19" t="s">
        <v>160</v>
      </c>
      <c r="AT1359" s="19" t="s">
        <v>160</v>
      </c>
      <c r="AU1359" s="19" t="s">
        <v>160</v>
      </c>
      <c r="AV1359" s="19" t="s">
        <v>160</v>
      </c>
      <c r="AW1359" s="19" t="s">
        <v>160</v>
      </c>
      <c r="AX1359" s="19" t="s">
        <v>160</v>
      </c>
      <c r="AY1359" s="19" t="s">
        <v>160</v>
      </c>
      <c r="BB1359" s="19"/>
      <c r="BC1359" s="19"/>
      <c r="BD1359" s="19"/>
      <c r="BE1359" s="19"/>
    </row>
    <row r="1360" spans="1:57" x14ac:dyDescent="0.25">
      <c r="A1360" s="9" t="s">
        <v>707</v>
      </c>
      <c r="B1360" s="137" t="s">
        <v>657</v>
      </c>
      <c r="C1360" s="23" t="s">
        <v>772</v>
      </c>
      <c r="D1360" s="40" t="s">
        <v>658</v>
      </c>
      <c r="E1360" s="46" t="s">
        <v>2226</v>
      </c>
      <c r="F1360" s="46" t="s">
        <v>2227</v>
      </c>
      <c r="G1360" s="40"/>
      <c r="H1360" s="9" t="s">
        <v>150</v>
      </c>
      <c r="I1360" s="41" t="s">
        <v>8</v>
      </c>
      <c r="J1360" s="41" t="s">
        <v>8</v>
      </c>
      <c r="K1360" s="40" t="s">
        <v>6</v>
      </c>
      <c r="L1360" s="41" t="s">
        <v>2030</v>
      </c>
      <c r="M1360" s="7" t="s">
        <v>2653</v>
      </c>
      <c r="N1360" s="19" t="s">
        <v>1107</v>
      </c>
      <c r="O1360" s="22"/>
      <c r="P1360" s="19" t="s">
        <v>160</v>
      </c>
      <c r="Q1360" s="44" t="s">
        <v>1186</v>
      </c>
      <c r="R1360" s="44" t="s">
        <v>1603</v>
      </c>
      <c r="S1360" s="19" t="s">
        <v>160</v>
      </c>
      <c r="T1360" s="19" t="s">
        <v>160</v>
      </c>
      <c r="U1360" s="19">
        <v>1</v>
      </c>
      <c r="V1360" s="42" t="s">
        <v>160</v>
      </c>
      <c r="W1360" s="42" t="s">
        <v>160</v>
      </c>
      <c r="X1360" s="42"/>
      <c r="Y1360" s="42"/>
      <c r="Z1360" s="42"/>
      <c r="AA1360" s="42"/>
      <c r="AB1360" s="42"/>
      <c r="AC1360" s="42"/>
      <c r="AD1360" s="42"/>
      <c r="AE1360" s="42"/>
      <c r="AF1360" s="42"/>
      <c r="AG1360" s="42"/>
      <c r="AH1360" s="42"/>
      <c r="AI1360" s="42"/>
      <c r="AJ1360" s="42"/>
      <c r="AK1360" s="42"/>
      <c r="AL1360" s="42"/>
      <c r="AM1360" s="42"/>
      <c r="AN1360" s="42"/>
      <c r="AO1360" s="42"/>
      <c r="AP1360" s="42"/>
      <c r="AQ1360" s="42"/>
      <c r="AR1360" s="42"/>
      <c r="AS1360" s="42"/>
      <c r="AZ1360" s="42"/>
      <c r="BA1360" s="42"/>
      <c r="BB1360" s="42"/>
      <c r="BC1360" s="42"/>
      <c r="BD1360" s="42"/>
      <c r="BE1360" s="42"/>
    </row>
    <row r="1361" spans="1:57" x14ac:dyDescent="0.25">
      <c r="A1361" s="53" t="s">
        <v>2763</v>
      </c>
      <c r="B1361" s="143">
        <v>2228</v>
      </c>
      <c r="C1361" s="85" t="s">
        <v>772</v>
      </c>
      <c r="D1361" s="85" t="s">
        <v>772</v>
      </c>
      <c r="E1361" s="35">
        <v>56.142221999999997</v>
      </c>
      <c r="F1361" s="35">
        <v>12.579167</v>
      </c>
      <c r="G1361" s="85"/>
      <c r="H1361" s="9" t="s">
        <v>150</v>
      </c>
      <c r="I1361" s="14" t="s">
        <v>8</v>
      </c>
      <c r="J1361" s="85" t="s">
        <v>8</v>
      </c>
      <c r="K1361" s="7" t="s">
        <v>6</v>
      </c>
      <c r="L1361" s="7" t="s">
        <v>2030</v>
      </c>
      <c r="M1361" s="7" t="s">
        <v>2653</v>
      </c>
      <c r="N1361" s="19" t="s">
        <v>1107</v>
      </c>
      <c r="O1361" s="22"/>
      <c r="P1361" s="19" t="s">
        <v>160</v>
      </c>
      <c r="Q1361" s="44" t="s">
        <v>1186</v>
      </c>
      <c r="R1361" s="44" t="s">
        <v>1603</v>
      </c>
      <c r="S1361" s="19" t="s">
        <v>160</v>
      </c>
      <c r="T1361" s="19" t="s">
        <v>160</v>
      </c>
      <c r="U1361" s="42">
        <v>1</v>
      </c>
      <c r="V1361" s="20" t="s">
        <v>160</v>
      </c>
      <c r="W1361" s="20" t="s">
        <v>160</v>
      </c>
      <c r="X1361" s="85"/>
      <c r="Y1361" s="85"/>
      <c r="Z1361" s="85"/>
      <c r="AA1361" s="85"/>
      <c r="AB1361" s="85"/>
      <c r="AC1361" s="85"/>
      <c r="AD1361" s="85"/>
      <c r="AE1361" s="85"/>
      <c r="AF1361" s="85"/>
      <c r="AG1361" s="85"/>
      <c r="AH1361" s="85"/>
      <c r="AI1361" s="85"/>
      <c r="AJ1361" s="85"/>
      <c r="AK1361" s="85"/>
      <c r="AL1361" s="85"/>
      <c r="AM1361" s="85"/>
      <c r="AN1361" s="85"/>
      <c r="AO1361" s="85"/>
      <c r="AP1361" s="85"/>
      <c r="AQ1361" s="85"/>
      <c r="AR1361" s="85"/>
      <c r="AS1361" s="85"/>
      <c r="AT1361" s="85"/>
      <c r="AU1361" s="85"/>
      <c r="AV1361" s="85"/>
      <c r="AW1361" s="85"/>
      <c r="AX1361" s="85"/>
      <c r="AY1361" s="85"/>
      <c r="AZ1361" s="85"/>
      <c r="BA1361" s="85"/>
      <c r="BB1361" s="85"/>
      <c r="BC1361" s="85"/>
      <c r="BD1361" s="85"/>
      <c r="BE1361" s="85"/>
    </row>
    <row r="1362" spans="1:57" s="94" customFormat="1" x14ac:dyDescent="0.25">
      <c r="A1362" s="105" t="s">
        <v>2773</v>
      </c>
      <c r="B1362" s="139" t="s">
        <v>2826</v>
      </c>
      <c r="C1362" s="110" t="s">
        <v>772</v>
      </c>
      <c r="D1362" s="153" t="s">
        <v>772</v>
      </c>
      <c r="E1362" s="101">
        <f>56+8/60+31.71/3600</f>
        <v>56.142141666666667</v>
      </c>
      <c r="F1362" s="101">
        <f>12+34/60+45.36/3600</f>
        <v>12.579266666666667</v>
      </c>
      <c r="G1362" s="81"/>
      <c r="H1362" s="105" t="s">
        <v>150</v>
      </c>
      <c r="I1362" s="105" t="s">
        <v>8</v>
      </c>
      <c r="J1362" s="105" t="s">
        <v>8</v>
      </c>
      <c r="K1362" s="105" t="s">
        <v>6</v>
      </c>
      <c r="L1362" s="105" t="s">
        <v>2030</v>
      </c>
      <c r="M1362" s="105" t="s">
        <v>2653</v>
      </c>
      <c r="N1362" s="108" t="s">
        <v>1107</v>
      </c>
      <c r="O1362" s="104"/>
      <c r="P1362" s="108" t="s">
        <v>160</v>
      </c>
      <c r="Q1362" s="107" t="s">
        <v>1186</v>
      </c>
      <c r="R1362" s="107" t="s">
        <v>1603</v>
      </c>
      <c r="S1362" s="108" t="s">
        <v>160</v>
      </c>
      <c r="T1362" s="108" t="s">
        <v>160</v>
      </c>
      <c r="U1362" s="106">
        <v>1</v>
      </c>
      <c r="V1362" s="103" t="s">
        <v>160</v>
      </c>
      <c r="W1362" s="103" t="s">
        <v>160</v>
      </c>
      <c r="X1362" s="103"/>
      <c r="Y1362" s="103"/>
      <c r="Z1362" s="103"/>
      <c r="AA1362" s="103"/>
      <c r="AB1362" s="103"/>
      <c r="AC1362" s="103"/>
      <c r="AD1362" s="103"/>
      <c r="AE1362" s="103"/>
      <c r="AF1362" s="103"/>
      <c r="AG1362" s="103"/>
      <c r="AH1362" s="103"/>
      <c r="AI1362" s="103"/>
      <c r="AJ1362" s="103"/>
      <c r="AK1362" s="103"/>
      <c r="AL1362" s="103"/>
      <c r="AM1362" s="103"/>
      <c r="AN1362" s="103"/>
      <c r="AO1362" s="103"/>
      <c r="AP1362" s="103"/>
      <c r="AQ1362" s="103"/>
      <c r="AR1362" s="103"/>
      <c r="AS1362" s="103"/>
      <c r="AT1362" s="103"/>
      <c r="AU1362" s="103"/>
      <c r="AV1362" s="103"/>
      <c r="AW1362" s="103"/>
      <c r="AX1362" s="103"/>
      <c r="AY1362" s="103"/>
      <c r="AZ1362" s="103"/>
      <c r="BA1362" s="103"/>
      <c r="BB1362" s="103"/>
      <c r="BC1362" s="103"/>
      <c r="BD1362" s="103"/>
      <c r="BE1362" s="103"/>
    </row>
    <row r="1363" spans="1:57" x14ac:dyDescent="0.25">
      <c r="A1363" s="7" t="s">
        <v>8</v>
      </c>
      <c r="B1363" s="142" t="s">
        <v>2977</v>
      </c>
      <c r="C1363" s="23" t="s">
        <v>772</v>
      </c>
      <c r="D1363" t="s">
        <v>772</v>
      </c>
      <c r="E1363" s="193">
        <v>56.142099999999999</v>
      </c>
      <c r="F1363" s="193">
        <v>12.5793</v>
      </c>
      <c r="G1363" s="43"/>
      <c r="H1363" s="7" t="s">
        <v>150</v>
      </c>
      <c r="I1363" s="7" t="s">
        <v>8</v>
      </c>
      <c r="J1363" s="7" t="s">
        <v>8</v>
      </c>
      <c r="K1363" s="7" t="s">
        <v>6</v>
      </c>
      <c r="L1363" s="7" t="s">
        <v>2030</v>
      </c>
      <c r="M1363" s="7" t="s">
        <v>2653</v>
      </c>
      <c r="N1363" s="19" t="s">
        <v>1107</v>
      </c>
      <c r="O1363" s="22"/>
      <c r="P1363" s="19" t="s">
        <v>160</v>
      </c>
      <c r="Q1363" s="44" t="s">
        <v>1186</v>
      </c>
      <c r="R1363" s="44" t="s">
        <v>1603</v>
      </c>
      <c r="S1363" s="19" t="s">
        <v>160</v>
      </c>
      <c r="T1363" s="19" t="s">
        <v>160</v>
      </c>
      <c r="U1363" s="42">
        <v>1</v>
      </c>
      <c r="V1363" s="20" t="s">
        <v>160</v>
      </c>
      <c r="W1363" s="20" t="s">
        <v>160</v>
      </c>
      <c r="X1363" s="20"/>
      <c r="Y1363" s="20"/>
      <c r="Z1363" s="20"/>
      <c r="AA1363" s="20"/>
      <c r="AB1363" s="20"/>
      <c r="AC1363" s="20"/>
      <c r="AD1363" s="20"/>
      <c r="AE1363" s="20"/>
      <c r="AF1363" s="20"/>
      <c r="AG1363" s="20"/>
      <c r="AH1363" s="20"/>
      <c r="AI1363" s="20"/>
      <c r="AJ1363" s="20"/>
      <c r="AK1363" s="20"/>
      <c r="AL1363" s="20"/>
      <c r="AM1363" s="20"/>
      <c r="AN1363" s="20"/>
      <c r="AO1363" s="20"/>
      <c r="AP1363" s="20"/>
      <c r="AQ1363" s="20"/>
      <c r="AR1363" s="20"/>
      <c r="AS1363" s="20"/>
      <c r="AT1363" s="20"/>
      <c r="AU1363" s="20"/>
      <c r="AV1363" s="20"/>
      <c r="AW1363" s="20"/>
      <c r="AX1363" s="20"/>
      <c r="AY1363" s="20"/>
      <c r="AZ1363" s="20"/>
      <c r="BA1363" s="20"/>
      <c r="BB1363" s="20"/>
      <c r="BC1363" s="20"/>
      <c r="BD1363" s="20"/>
      <c r="BE1363" s="20"/>
    </row>
    <row r="1364" spans="1:57" x14ac:dyDescent="0.25">
      <c r="A1364" s="9" t="s">
        <v>706</v>
      </c>
      <c r="B1364" s="140">
        <v>163</v>
      </c>
      <c r="C1364" s="23" t="s">
        <v>772</v>
      </c>
      <c r="D1364" s="62" t="s">
        <v>133</v>
      </c>
      <c r="E1364" s="5">
        <f>56+8/60+32/3600</f>
        <v>56.142222222222223</v>
      </c>
      <c r="F1364" s="5">
        <f>12+34/60+45/3600</f>
        <v>12.579166666666666</v>
      </c>
      <c r="G1364" s="43"/>
      <c r="H1364" s="9" t="s">
        <v>150</v>
      </c>
      <c r="I1364" s="7" t="s">
        <v>8</v>
      </c>
      <c r="J1364" s="7" t="s">
        <v>8</v>
      </c>
      <c r="K1364" s="9" t="s">
        <v>6</v>
      </c>
      <c r="L1364" s="7" t="s">
        <v>2030</v>
      </c>
      <c r="M1364" s="7" t="s">
        <v>2653</v>
      </c>
      <c r="N1364" s="19" t="s">
        <v>1107</v>
      </c>
      <c r="O1364" s="22"/>
      <c r="P1364" s="19" t="s">
        <v>160</v>
      </c>
      <c r="Q1364" s="44" t="s">
        <v>1186</v>
      </c>
      <c r="R1364" s="44" t="s">
        <v>1603</v>
      </c>
      <c r="S1364" s="19" t="s">
        <v>160</v>
      </c>
      <c r="T1364" s="19" t="s">
        <v>160</v>
      </c>
      <c r="U1364" s="19">
        <v>1</v>
      </c>
      <c r="V1364" s="19" t="s">
        <v>160</v>
      </c>
      <c r="W1364" s="19" t="s">
        <v>160</v>
      </c>
      <c r="BB1364" s="19"/>
      <c r="BC1364" s="19"/>
      <c r="BD1364" s="19"/>
      <c r="BE1364" s="19"/>
    </row>
    <row r="1365" spans="1:57" x14ac:dyDescent="0.25">
      <c r="A1365" s="9" t="s">
        <v>8</v>
      </c>
      <c r="B1365" s="26">
        <v>35016</v>
      </c>
      <c r="C1365" s="24" t="s">
        <v>1054</v>
      </c>
      <c r="D1365" t="s">
        <v>1055</v>
      </c>
      <c r="E1365" s="25">
        <f>57+34/60</f>
        <v>57.56666666666667</v>
      </c>
      <c r="F1365" s="25">
        <f>11+36/60</f>
        <v>11.6</v>
      </c>
      <c r="G1365" s="9"/>
      <c r="H1365" s="9" t="s">
        <v>150</v>
      </c>
      <c r="I1365" s="9" t="s">
        <v>8</v>
      </c>
      <c r="J1365" s="7" t="s">
        <v>8</v>
      </c>
      <c r="K1365" s="10" t="s">
        <v>953</v>
      </c>
      <c r="L1365" s="7" t="s">
        <v>2685</v>
      </c>
      <c r="M1365" s="7" t="s">
        <v>717</v>
      </c>
      <c r="N1365" s="42" t="s">
        <v>1340</v>
      </c>
      <c r="O1365" s="22"/>
      <c r="P1365" s="42"/>
      <c r="S1365" s="19" t="s">
        <v>160</v>
      </c>
      <c r="T1365" s="19" t="s">
        <v>160</v>
      </c>
      <c r="U1365" s="42"/>
      <c r="X1365" s="19" t="s">
        <v>160</v>
      </c>
      <c r="Z1365" s="19" t="s">
        <v>160</v>
      </c>
      <c r="AL1365" s="19" t="s">
        <v>160</v>
      </c>
      <c r="AR1365" s="19" t="s">
        <v>160</v>
      </c>
      <c r="AT1365" s="19" t="s">
        <v>160</v>
      </c>
      <c r="BB1365" s="19"/>
      <c r="BC1365" s="19"/>
      <c r="BD1365" s="19"/>
      <c r="BE1365" s="19"/>
    </row>
    <row r="1366" spans="1:57" x14ac:dyDescent="0.25">
      <c r="A1366" s="9" t="s">
        <v>707</v>
      </c>
      <c r="B1366" s="137" t="s">
        <v>661</v>
      </c>
      <c r="C1366" s="23" t="s">
        <v>720</v>
      </c>
      <c r="D1366" s="40" t="s">
        <v>662</v>
      </c>
      <c r="E1366" s="46" t="s">
        <v>664</v>
      </c>
      <c r="F1366" s="46" t="s">
        <v>663</v>
      </c>
      <c r="G1366" s="40"/>
      <c r="H1366" s="9" t="s">
        <v>150</v>
      </c>
      <c r="I1366" s="41" t="s">
        <v>169</v>
      </c>
      <c r="J1366" s="41" t="s">
        <v>169</v>
      </c>
      <c r="K1366" s="40" t="s">
        <v>6</v>
      </c>
      <c r="L1366" s="41" t="s">
        <v>2030</v>
      </c>
      <c r="M1366" s="7" t="s">
        <v>2653</v>
      </c>
      <c r="N1366" s="19" t="s">
        <v>1108</v>
      </c>
      <c r="O1366" s="42" t="s">
        <v>160</v>
      </c>
      <c r="P1366" s="42" t="s">
        <v>160</v>
      </c>
      <c r="Q1366" s="44" t="s">
        <v>1157</v>
      </c>
      <c r="S1366" s="19" t="s">
        <v>160</v>
      </c>
      <c r="T1366" s="19" t="s">
        <v>160</v>
      </c>
      <c r="U1366" s="19">
        <v>2</v>
      </c>
      <c r="V1366" s="42" t="s">
        <v>160</v>
      </c>
      <c r="W1366" s="42" t="s">
        <v>160</v>
      </c>
      <c r="X1366" s="42"/>
      <c r="Y1366" s="42"/>
      <c r="Z1366" s="42"/>
      <c r="AA1366" s="42"/>
      <c r="AB1366" s="42"/>
      <c r="AC1366" s="42"/>
      <c r="AD1366" s="42"/>
      <c r="AE1366" s="42"/>
      <c r="AF1366" s="42"/>
      <c r="AG1366" s="42"/>
      <c r="AH1366" s="42"/>
      <c r="AI1366" s="42"/>
      <c r="AJ1366" s="42"/>
      <c r="AK1366" s="42"/>
      <c r="AL1366" s="42"/>
      <c r="AM1366" s="42"/>
      <c r="AN1366" s="42"/>
      <c r="AO1366" s="42"/>
      <c r="AP1366" s="42"/>
      <c r="AQ1366" s="42"/>
      <c r="AR1366" s="42"/>
      <c r="AS1366" s="42"/>
      <c r="AZ1366" s="42"/>
      <c r="BA1366" s="42"/>
      <c r="BB1366" s="42"/>
      <c r="BC1366" s="42"/>
      <c r="BD1366" s="42"/>
      <c r="BE1366" s="42"/>
    </row>
    <row r="1367" spans="1:57" x14ac:dyDescent="0.25">
      <c r="A1367" s="9" t="s">
        <v>707</v>
      </c>
      <c r="B1367" s="39" t="s">
        <v>659</v>
      </c>
      <c r="C1367" s="45" t="s">
        <v>720</v>
      </c>
      <c r="D1367" s="40" t="s">
        <v>660</v>
      </c>
      <c r="E1367" s="46" t="s">
        <v>2174</v>
      </c>
      <c r="F1367" s="46" t="s">
        <v>2175</v>
      </c>
      <c r="G1367" s="40"/>
      <c r="H1367" s="9" t="s">
        <v>150</v>
      </c>
      <c r="I1367" s="41" t="s">
        <v>169</v>
      </c>
      <c r="J1367" s="41" t="s">
        <v>169</v>
      </c>
      <c r="K1367" s="40" t="s">
        <v>5</v>
      </c>
      <c r="L1367" s="41" t="s">
        <v>2043</v>
      </c>
      <c r="M1367" s="7" t="s">
        <v>2653</v>
      </c>
      <c r="N1367" s="19" t="s">
        <v>1108</v>
      </c>
      <c r="V1367" s="42"/>
      <c r="W1367" s="42"/>
      <c r="X1367" s="42"/>
      <c r="Y1367" s="42"/>
      <c r="Z1367" s="42"/>
      <c r="AA1367" s="42"/>
      <c r="AB1367" s="42"/>
      <c r="AC1367" s="42"/>
      <c r="AD1367" s="42"/>
      <c r="AE1367" s="42"/>
      <c r="AF1367" s="42"/>
      <c r="AG1367" s="42"/>
      <c r="AH1367" s="42"/>
      <c r="AI1367" s="42"/>
      <c r="AJ1367" s="42"/>
      <c r="AK1367" s="42"/>
      <c r="AL1367" s="42"/>
      <c r="AM1367" s="42"/>
      <c r="AN1367" s="42"/>
      <c r="AO1367" s="42"/>
      <c r="AP1367" s="42"/>
      <c r="AQ1367" s="42"/>
      <c r="AR1367" s="42" t="s">
        <v>160</v>
      </c>
      <c r="AS1367" s="42" t="s">
        <v>160</v>
      </c>
      <c r="AZ1367" s="42"/>
      <c r="BA1367" s="42"/>
      <c r="BB1367" s="42"/>
      <c r="BC1367" s="42"/>
      <c r="BD1367" s="42"/>
      <c r="BE1367" s="42"/>
    </row>
    <row r="1368" spans="1:57" x14ac:dyDescent="0.25">
      <c r="A1368" s="53" t="s">
        <v>2763</v>
      </c>
      <c r="B1368" s="143">
        <v>35144</v>
      </c>
      <c r="C1368" s="85" t="s">
        <v>720</v>
      </c>
      <c r="D1368" s="85" t="s">
        <v>1054</v>
      </c>
      <c r="E1368" s="66">
        <f>57+37/60+53.94/3600</f>
        <v>57.63165</v>
      </c>
      <c r="F1368" s="66">
        <f>11+36/60+31.5468/3600</f>
        <v>11.608763</v>
      </c>
      <c r="G1368" s="85">
        <v>1.91</v>
      </c>
      <c r="H1368" s="9" t="s">
        <v>150</v>
      </c>
      <c r="I1368" s="14" t="s">
        <v>169</v>
      </c>
      <c r="J1368" s="85" t="s">
        <v>169</v>
      </c>
      <c r="K1368" s="7" t="s">
        <v>6</v>
      </c>
      <c r="L1368" s="7" t="s">
        <v>2031</v>
      </c>
      <c r="M1368" s="7" t="s">
        <v>2653</v>
      </c>
      <c r="N1368" s="19" t="s">
        <v>1108</v>
      </c>
      <c r="O1368" s="42" t="s">
        <v>160</v>
      </c>
      <c r="P1368" s="42" t="s">
        <v>160</v>
      </c>
      <c r="Q1368" s="44" t="s">
        <v>1157</v>
      </c>
      <c r="S1368" s="19" t="s">
        <v>160</v>
      </c>
      <c r="T1368" s="19" t="s">
        <v>160</v>
      </c>
      <c r="U1368" s="42">
        <v>2</v>
      </c>
      <c r="V1368" s="20" t="s">
        <v>160</v>
      </c>
      <c r="W1368" s="20" t="s">
        <v>160</v>
      </c>
      <c r="X1368" s="20" t="s">
        <v>160</v>
      </c>
      <c r="Y1368" s="20" t="s">
        <v>160</v>
      </c>
      <c r="Z1368" s="20"/>
      <c r="AA1368" s="20"/>
      <c r="AB1368" s="20"/>
      <c r="AC1368" s="20"/>
      <c r="AD1368" s="20"/>
      <c r="AE1368" s="20"/>
      <c r="AF1368" s="20"/>
      <c r="AG1368" s="20"/>
      <c r="AH1368" s="20"/>
      <c r="AI1368" s="20"/>
      <c r="AJ1368" s="20"/>
      <c r="AK1368" s="20"/>
      <c r="AL1368" s="20"/>
      <c r="AM1368" s="20"/>
      <c r="AN1368" s="20"/>
      <c r="AO1368" s="20"/>
      <c r="AP1368" s="20"/>
      <c r="AQ1368" s="20"/>
      <c r="AR1368" s="20" t="s">
        <v>160</v>
      </c>
      <c r="AS1368" s="20" t="s">
        <v>160</v>
      </c>
      <c r="AT1368" s="85"/>
      <c r="AU1368" s="85"/>
      <c r="AV1368" s="85"/>
      <c r="AW1368" s="85"/>
      <c r="AX1368" s="85"/>
      <c r="AY1368" s="85"/>
      <c r="AZ1368" s="85"/>
      <c r="BA1368" s="85"/>
      <c r="BB1368" s="85"/>
      <c r="BC1368" s="85"/>
      <c r="BD1368" s="85"/>
      <c r="BE1368" s="85"/>
    </row>
    <row r="1369" spans="1:57" s="94" customFormat="1" x14ac:dyDescent="0.25">
      <c r="A1369" s="105" t="s">
        <v>2773</v>
      </c>
      <c r="B1369" s="139" t="s">
        <v>2825</v>
      </c>
      <c r="C1369" s="110" t="s">
        <v>720</v>
      </c>
      <c r="D1369" s="153" t="s">
        <v>720</v>
      </c>
      <c r="E1369" s="93">
        <f>57+37/60+53.94/3600</f>
        <v>57.63165</v>
      </c>
      <c r="F1369" s="93">
        <f>11+36/60+31.5792/3600</f>
        <v>11.608772</v>
      </c>
      <c r="G1369" s="178">
        <v>1.91</v>
      </c>
      <c r="H1369" s="105" t="s">
        <v>150</v>
      </c>
      <c r="I1369" s="105" t="s">
        <v>169</v>
      </c>
      <c r="J1369" s="105" t="s">
        <v>169</v>
      </c>
      <c r="K1369" s="105" t="s">
        <v>40</v>
      </c>
      <c r="L1369" s="105" t="s">
        <v>2055</v>
      </c>
      <c r="M1369" s="105" t="s">
        <v>2653</v>
      </c>
      <c r="N1369" s="108" t="s">
        <v>1108</v>
      </c>
      <c r="O1369" s="106" t="s">
        <v>160</v>
      </c>
      <c r="P1369" s="106" t="s">
        <v>160</v>
      </c>
      <c r="Q1369" s="107" t="s">
        <v>1157</v>
      </c>
      <c r="R1369" s="108"/>
      <c r="S1369" s="108" t="s">
        <v>160</v>
      </c>
      <c r="T1369" s="108" t="s">
        <v>160</v>
      </c>
      <c r="U1369" s="106">
        <v>2</v>
      </c>
      <c r="V1369" s="103" t="s">
        <v>160</v>
      </c>
      <c r="W1369" s="103" t="s">
        <v>160</v>
      </c>
      <c r="X1369" s="103" t="s">
        <v>160</v>
      </c>
      <c r="Y1369" s="103" t="s">
        <v>160</v>
      </c>
      <c r="Z1369" s="103"/>
      <c r="AA1369" s="103"/>
      <c r="AB1369" s="103"/>
      <c r="AC1369" s="103"/>
      <c r="AD1369" s="103"/>
      <c r="AE1369" s="103"/>
      <c r="AF1369" s="103"/>
      <c r="AG1369" s="103"/>
      <c r="AH1369" s="103"/>
      <c r="AI1369" s="103"/>
      <c r="AJ1369" s="103"/>
      <c r="AK1369" s="103"/>
      <c r="AL1369" s="103"/>
      <c r="AM1369" s="103"/>
      <c r="AN1369" s="103"/>
      <c r="AO1369" s="103"/>
      <c r="AP1369" s="103"/>
      <c r="AQ1369" s="103"/>
      <c r="AR1369" s="103" t="s">
        <v>160</v>
      </c>
      <c r="AS1369" s="103" t="s">
        <v>160</v>
      </c>
      <c r="AT1369" s="103"/>
      <c r="AU1369" s="103"/>
      <c r="AV1369" s="103"/>
      <c r="AW1369" s="103"/>
      <c r="AX1369" s="103"/>
      <c r="AY1369" s="103"/>
      <c r="AZ1369" s="103"/>
      <c r="BA1369" s="103"/>
      <c r="BB1369" s="103"/>
      <c r="BC1369" s="103"/>
      <c r="BD1369" s="103"/>
      <c r="BE1369" s="103"/>
    </row>
    <row r="1370" spans="1:57" x14ac:dyDescent="0.25">
      <c r="A1370" s="7" t="s">
        <v>8</v>
      </c>
      <c r="B1370" s="142" t="s">
        <v>2979</v>
      </c>
      <c r="C1370" s="23" t="s">
        <v>720</v>
      </c>
      <c r="D1370" s="24" t="s">
        <v>720</v>
      </c>
      <c r="E1370" s="193">
        <v>57.631700000000002</v>
      </c>
      <c r="F1370" s="193">
        <v>11.6088</v>
      </c>
      <c r="G1370" s="43"/>
      <c r="H1370" s="7" t="s">
        <v>150</v>
      </c>
      <c r="I1370" s="7" t="s">
        <v>169</v>
      </c>
      <c r="J1370" s="7" t="s">
        <v>169</v>
      </c>
      <c r="K1370" s="7" t="s">
        <v>40</v>
      </c>
      <c r="L1370" s="7" t="s">
        <v>2055</v>
      </c>
      <c r="M1370" s="7" t="s">
        <v>2653</v>
      </c>
      <c r="N1370" s="19" t="s">
        <v>1108</v>
      </c>
      <c r="O1370" s="42" t="s">
        <v>160</v>
      </c>
      <c r="P1370" s="42" t="s">
        <v>160</v>
      </c>
      <c r="Q1370" s="44" t="s">
        <v>1157</v>
      </c>
      <c r="S1370" s="19" t="s">
        <v>160</v>
      </c>
      <c r="T1370" s="19" t="s">
        <v>160</v>
      </c>
      <c r="U1370" s="42">
        <v>2</v>
      </c>
      <c r="V1370" s="20" t="s">
        <v>160</v>
      </c>
      <c r="W1370" s="20" t="s">
        <v>160</v>
      </c>
      <c r="X1370" s="20" t="s">
        <v>160</v>
      </c>
      <c r="Y1370" s="20" t="s">
        <v>160</v>
      </c>
      <c r="Z1370" s="20"/>
      <c r="AA1370" s="20"/>
      <c r="AB1370" s="20"/>
      <c r="AC1370" s="20"/>
      <c r="AD1370" s="20"/>
      <c r="AE1370" s="20"/>
      <c r="AF1370" s="20"/>
      <c r="AG1370" s="20"/>
      <c r="AH1370" s="20"/>
      <c r="AI1370" s="20"/>
      <c r="AJ1370" s="20"/>
      <c r="AK1370" s="20"/>
      <c r="AL1370" s="20"/>
      <c r="AM1370" s="20"/>
      <c r="AN1370" s="20"/>
      <c r="AO1370" s="20"/>
      <c r="AP1370" s="20"/>
      <c r="AQ1370" s="20"/>
      <c r="AR1370" s="20" t="s">
        <v>160</v>
      </c>
      <c r="AS1370" s="20" t="s">
        <v>160</v>
      </c>
      <c r="AT1370" s="20"/>
      <c r="AU1370" s="20"/>
      <c r="AV1370" s="20"/>
      <c r="AW1370" s="20"/>
      <c r="AX1370" s="20"/>
      <c r="AY1370" s="20"/>
      <c r="AZ1370" s="20"/>
      <c r="BA1370" s="20"/>
      <c r="BB1370" s="20"/>
      <c r="BC1370" s="20"/>
      <c r="BD1370" s="20"/>
      <c r="BE1370" s="20"/>
    </row>
    <row r="1371" spans="1:57" x14ac:dyDescent="0.25">
      <c r="A1371" s="9" t="s">
        <v>706</v>
      </c>
      <c r="B1371" s="140">
        <v>114</v>
      </c>
      <c r="C1371" s="23" t="s">
        <v>720</v>
      </c>
      <c r="D1371" s="62" t="s">
        <v>134</v>
      </c>
      <c r="E1371" s="5">
        <f>57+37/60+54/3600</f>
        <v>57.631666666666668</v>
      </c>
      <c r="F1371" s="5">
        <f>11+36/60+27/3600</f>
        <v>11.6075</v>
      </c>
      <c r="G1371" s="43"/>
      <c r="H1371" s="9" t="s">
        <v>150</v>
      </c>
      <c r="I1371" s="7" t="s">
        <v>169</v>
      </c>
      <c r="J1371" s="7" t="s">
        <v>169</v>
      </c>
      <c r="K1371" s="9" t="s">
        <v>40</v>
      </c>
      <c r="L1371" s="7" t="s">
        <v>2055</v>
      </c>
      <c r="M1371" s="7" t="s">
        <v>2653</v>
      </c>
      <c r="N1371" s="19" t="s">
        <v>1108</v>
      </c>
      <c r="O1371" s="42" t="s">
        <v>160</v>
      </c>
      <c r="P1371" s="42" t="s">
        <v>160</v>
      </c>
      <c r="Q1371" s="44" t="s">
        <v>1157</v>
      </c>
      <c r="S1371" s="19" t="s">
        <v>160</v>
      </c>
      <c r="T1371" s="19" t="s">
        <v>160</v>
      </c>
      <c r="U1371" s="19">
        <v>2</v>
      </c>
      <c r="V1371" s="19" t="s">
        <v>160</v>
      </c>
      <c r="W1371" s="19" t="s">
        <v>160</v>
      </c>
      <c r="X1371" s="19" t="s">
        <v>160</v>
      </c>
      <c r="Y1371" s="19" t="s">
        <v>160</v>
      </c>
      <c r="AR1371" s="19" t="s">
        <v>160</v>
      </c>
      <c r="AS1371" s="19" t="s">
        <v>160</v>
      </c>
      <c r="BB1371" s="19"/>
      <c r="BC1371" s="19"/>
      <c r="BD1371" s="19"/>
      <c r="BE1371" s="19"/>
    </row>
    <row r="1372" spans="1:57" x14ac:dyDescent="0.25">
      <c r="A1372" s="6" t="s">
        <v>8</v>
      </c>
      <c r="B1372" s="9">
        <v>71380</v>
      </c>
      <c r="C1372" s="9" t="s">
        <v>1570</v>
      </c>
      <c r="D1372" s="9" t="s">
        <v>1571</v>
      </c>
      <c r="E1372" s="3">
        <v>57.632199999999997</v>
      </c>
      <c r="F1372" s="3">
        <v>11.604799999999999</v>
      </c>
      <c r="G1372" s="9">
        <v>18.204999999999998</v>
      </c>
      <c r="H1372" s="9" t="s">
        <v>150</v>
      </c>
      <c r="I1372" s="21" t="s">
        <v>8</v>
      </c>
      <c r="J1372" s="21" t="s">
        <v>8</v>
      </c>
      <c r="K1372" s="3" t="s">
        <v>5</v>
      </c>
      <c r="L1372" s="5" t="s">
        <v>2680</v>
      </c>
      <c r="M1372" s="7" t="s">
        <v>2653</v>
      </c>
      <c r="N1372" s="19" t="s">
        <v>2554</v>
      </c>
      <c r="O1372" s="22"/>
      <c r="P1372" s="19" t="s">
        <v>160</v>
      </c>
      <c r="AR1372" s="19" t="s">
        <v>160</v>
      </c>
      <c r="AS1372" s="19" t="s">
        <v>160</v>
      </c>
      <c r="AT1372" s="19" t="s">
        <v>160</v>
      </c>
      <c r="AU1372" s="19" t="s">
        <v>160</v>
      </c>
      <c r="AV1372" s="19" t="s">
        <v>160</v>
      </c>
      <c r="AW1372" s="19" t="s">
        <v>160</v>
      </c>
      <c r="AX1372" s="19" t="s">
        <v>160</v>
      </c>
      <c r="AY1372" s="19" t="s">
        <v>160</v>
      </c>
      <c r="AZ1372" s="19" t="s">
        <v>160</v>
      </c>
      <c r="BA1372" s="19" t="s">
        <v>160</v>
      </c>
      <c r="BB1372" s="19"/>
      <c r="BC1372" s="19"/>
      <c r="BD1372" s="19"/>
      <c r="BE1372" s="19"/>
    </row>
    <row r="1373" spans="1:57" x14ac:dyDescent="0.25">
      <c r="A1373" s="9" t="s">
        <v>8</v>
      </c>
      <c r="B1373" s="38">
        <v>33040</v>
      </c>
      <c r="C1373" s="23" t="s">
        <v>2324</v>
      </c>
      <c r="D1373" s="40" t="s">
        <v>2325</v>
      </c>
      <c r="E1373" s="3">
        <v>57.623399999999997</v>
      </c>
      <c r="F1373" s="3">
        <v>11.573399999999999</v>
      </c>
      <c r="H1373" s="9" t="s">
        <v>150</v>
      </c>
      <c r="I1373" s="9" t="s">
        <v>8</v>
      </c>
      <c r="J1373" s="7" t="s">
        <v>8</v>
      </c>
      <c r="K1373" s="9" t="s">
        <v>951</v>
      </c>
      <c r="L1373" s="7" t="s">
        <v>2587</v>
      </c>
      <c r="M1373" s="7" t="s">
        <v>717</v>
      </c>
      <c r="N1373" s="19">
        <v>2019</v>
      </c>
      <c r="O1373" s="22"/>
      <c r="P1373" s="19" t="s">
        <v>160</v>
      </c>
      <c r="S1373" s="19" t="s">
        <v>160</v>
      </c>
      <c r="T1373" s="19" t="s">
        <v>160</v>
      </c>
      <c r="X1373" s="19" t="s">
        <v>160</v>
      </c>
      <c r="Z1373" s="19" t="s">
        <v>160</v>
      </c>
      <c r="AB1373" s="19" t="s">
        <v>160</v>
      </c>
      <c r="BB1373" s="19"/>
      <c r="BC1373" s="19"/>
      <c r="BD1373" s="19"/>
      <c r="BE1373" s="19"/>
    </row>
    <row r="1374" spans="1:57" x14ac:dyDescent="0.25">
      <c r="A1374" s="9" t="s">
        <v>707</v>
      </c>
      <c r="B1374" s="137" t="s">
        <v>668</v>
      </c>
      <c r="C1374" s="23" t="s">
        <v>757</v>
      </c>
      <c r="D1374" s="40" t="s">
        <v>669</v>
      </c>
      <c r="E1374" s="46" t="s">
        <v>671</v>
      </c>
      <c r="F1374" s="46" t="s">
        <v>670</v>
      </c>
      <c r="G1374" s="40"/>
      <c r="H1374" s="9" t="s">
        <v>150</v>
      </c>
      <c r="I1374" s="41" t="s">
        <v>8</v>
      </c>
      <c r="J1374" s="41" t="s">
        <v>8</v>
      </c>
      <c r="K1374" s="40" t="s">
        <v>6</v>
      </c>
      <c r="L1374" s="41" t="s">
        <v>2030</v>
      </c>
      <c r="M1374" s="7" t="s">
        <v>2653</v>
      </c>
      <c r="N1374" s="42" t="s">
        <v>1100</v>
      </c>
      <c r="O1374" s="22"/>
      <c r="P1374" s="19" t="s">
        <v>160</v>
      </c>
      <c r="Q1374" s="44" t="s">
        <v>1187</v>
      </c>
      <c r="R1374" s="44" t="s">
        <v>1601</v>
      </c>
      <c r="S1374" s="19" t="s">
        <v>160</v>
      </c>
      <c r="T1374" s="19" t="s">
        <v>160</v>
      </c>
      <c r="U1374" s="19">
        <v>1</v>
      </c>
      <c r="V1374" s="42" t="s">
        <v>160</v>
      </c>
      <c r="W1374" s="42" t="s">
        <v>160</v>
      </c>
      <c r="X1374" s="42"/>
      <c r="Y1374" s="42"/>
      <c r="Z1374" s="42"/>
      <c r="AA1374" s="42"/>
      <c r="AB1374" s="42"/>
      <c r="AC1374" s="42"/>
      <c r="AD1374" s="42"/>
      <c r="AE1374" s="42"/>
      <c r="AF1374" s="42"/>
      <c r="AG1374" s="42"/>
      <c r="AH1374" s="42"/>
      <c r="AI1374" s="42"/>
      <c r="AJ1374" s="42"/>
      <c r="AK1374" s="42"/>
      <c r="AL1374" s="42"/>
      <c r="AM1374" s="42"/>
      <c r="AN1374" s="42"/>
      <c r="AO1374" s="42"/>
      <c r="AP1374" s="42"/>
      <c r="AQ1374" s="42"/>
      <c r="AR1374" s="42"/>
      <c r="AS1374" s="42"/>
      <c r="AZ1374" s="42"/>
      <c r="BA1374" s="42"/>
      <c r="BB1374" s="42"/>
      <c r="BC1374" s="42"/>
      <c r="BD1374" s="42"/>
      <c r="BE1374" s="42"/>
    </row>
    <row r="1375" spans="1:57" x14ac:dyDescent="0.25">
      <c r="A1375" s="53" t="s">
        <v>2763</v>
      </c>
      <c r="B1375" s="143">
        <v>2080</v>
      </c>
      <c r="C1375" s="85" t="s">
        <v>757</v>
      </c>
      <c r="D1375" s="85" t="s">
        <v>757</v>
      </c>
      <c r="E1375" s="35">
        <v>57.639265000000002</v>
      </c>
      <c r="F1375" s="35">
        <v>18.284476000000002</v>
      </c>
      <c r="G1375" s="85">
        <v>2.09</v>
      </c>
      <c r="H1375" s="9" t="s">
        <v>150</v>
      </c>
      <c r="I1375" s="14" t="s">
        <v>8</v>
      </c>
      <c r="J1375" s="85" t="s">
        <v>8</v>
      </c>
      <c r="K1375" s="7" t="s">
        <v>6</v>
      </c>
      <c r="L1375" s="7" t="s">
        <v>2030</v>
      </c>
      <c r="M1375" s="7" t="s">
        <v>2653</v>
      </c>
      <c r="N1375" s="42" t="s">
        <v>1100</v>
      </c>
      <c r="O1375" s="22"/>
      <c r="P1375" s="19" t="s">
        <v>160</v>
      </c>
      <c r="Q1375" s="44" t="s">
        <v>1187</v>
      </c>
      <c r="R1375" s="44" t="s">
        <v>1601</v>
      </c>
      <c r="S1375" s="19" t="s">
        <v>160</v>
      </c>
      <c r="T1375" s="19" t="s">
        <v>160</v>
      </c>
      <c r="U1375" s="42">
        <v>1</v>
      </c>
      <c r="V1375" s="20" t="s">
        <v>160</v>
      </c>
      <c r="W1375" s="20" t="s">
        <v>160</v>
      </c>
      <c r="X1375" s="85"/>
      <c r="Y1375" s="85"/>
      <c r="Z1375" s="85"/>
      <c r="AA1375" s="85"/>
      <c r="AB1375" s="85"/>
      <c r="AC1375" s="85"/>
      <c r="AD1375" s="85"/>
      <c r="AE1375" s="85"/>
      <c r="AF1375" s="85"/>
      <c r="AG1375" s="85"/>
      <c r="AH1375" s="85"/>
      <c r="AI1375" s="85"/>
      <c r="AJ1375" s="85"/>
      <c r="AK1375" s="85"/>
      <c r="AL1375" s="85"/>
      <c r="AM1375" s="85"/>
      <c r="AN1375" s="85"/>
      <c r="AO1375" s="85"/>
      <c r="AP1375" s="85"/>
      <c r="AQ1375" s="85"/>
      <c r="AR1375" s="85"/>
      <c r="AS1375" s="85"/>
      <c r="AT1375" s="85"/>
      <c r="AU1375" s="85"/>
      <c r="AV1375" s="85"/>
      <c r="AW1375" s="85"/>
      <c r="AX1375" s="85"/>
      <c r="AY1375" s="85"/>
      <c r="AZ1375" s="85"/>
      <c r="BA1375" s="85"/>
      <c r="BB1375" s="85"/>
      <c r="BC1375" s="85"/>
      <c r="BD1375" s="85"/>
      <c r="BE1375" s="85"/>
    </row>
    <row r="1376" spans="1:57" s="94" customFormat="1" x14ac:dyDescent="0.25">
      <c r="A1376" s="105" t="s">
        <v>2773</v>
      </c>
      <c r="B1376" s="139" t="s">
        <v>2827</v>
      </c>
      <c r="C1376" s="110" t="s">
        <v>757</v>
      </c>
      <c r="D1376" s="153" t="s">
        <v>135</v>
      </c>
      <c r="E1376" s="82">
        <f>57+38/60+21.27/3600</f>
        <v>57.639241666666663</v>
      </c>
      <c r="F1376" s="82">
        <f>18+17/60+4.21/3600</f>
        <v>18.284502777777778</v>
      </c>
      <c r="G1376" s="178">
        <v>2.09</v>
      </c>
      <c r="H1376" s="105" t="s">
        <v>150</v>
      </c>
      <c r="I1376" s="105" t="s">
        <v>8</v>
      </c>
      <c r="J1376" s="105" t="s">
        <v>708</v>
      </c>
      <c r="K1376" s="94" t="s">
        <v>40</v>
      </c>
      <c r="L1376" s="105" t="s">
        <v>2054</v>
      </c>
      <c r="M1376" s="105" t="s">
        <v>2653</v>
      </c>
      <c r="N1376" s="106" t="s">
        <v>1100</v>
      </c>
      <c r="O1376" s="104"/>
      <c r="P1376" s="108" t="s">
        <v>160</v>
      </c>
      <c r="Q1376" s="107" t="s">
        <v>1187</v>
      </c>
      <c r="R1376" s="107" t="s">
        <v>1601</v>
      </c>
      <c r="S1376" s="108" t="s">
        <v>160</v>
      </c>
      <c r="T1376" s="108" t="s">
        <v>160</v>
      </c>
      <c r="U1376" s="106">
        <v>1</v>
      </c>
      <c r="V1376" s="103" t="s">
        <v>160</v>
      </c>
      <c r="W1376" s="103" t="s">
        <v>160</v>
      </c>
      <c r="X1376" s="103"/>
      <c r="Y1376" s="103"/>
      <c r="Z1376" s="103"/>
      <c r="AA1376" s="103"/>
      <c r="AB1376" s="103"/>
      <c r="AC1376" s="103"/>
      <c r="AD1376" s="103"/>
      <c r="AE1376" s="103"/>
      <c r="AF1376" s="103"/>
      <c r="AG1376" s="103"/>
      <c r="AH1376" s="103"/>
      <c r="AI1376" s="103"/>
      <c r="AJ1376" s="103"/>
      <c r="AK1376" s="103"/>
      <c r="AL1376" s="103"/>
      <c r="AM1376" s="103"/>
      <c r="AN1376" s="103"/>
      <c r="AO1376" s="103"/>
      <c r="AP1376" s="103"/>
      <c r="AQ1376" s="103"/>
      <c r="AR1376" s="103" t="s">
        <v>160</v>
      </c>
      <c r="AS1376" s="103" t="s">
        <v>160</v>
      </c>
      <c r="AT1376" s="103"/>
      <c r="AU1376" s="103"/>
      <c r="AV1376" s="103"/>
      <c r="AW1376" s="103"/>
      <c r="AX1376" s="103"/>
      <c r="AY1376" s="103"/>
      <c r="AZ1376" s="103"/>
      <c r="BA1376" s="103"/>
      <c r="BB1376" s="103"/>
      <c r="BC1376" s="103"/>
      <c r="BD1376" s="103"/>
      <c r="BE1376" s="103"/>
    </row>
    <row r="1377" spans="1:57" x14ac:dyDescent="0.25">
      <c r="A1377" s="7" t="s">
        <v>8</v>
      </c>
      <c r="B1377" s="142" t="s">
        <v>2978</v>
      </c>
      <c r="C1377" s="23" t="s">
        <v>757</v>
      </c>
      <c r="D1377" t="s">
        <v>757</v>
      </c>
      <c r="E1377" s="193">
        <v>57.639299999999999</v>
      </c>
      <c r="F1377" s="193">
        <v>18.284500000000001</v>
      </c>
      <c r="G1377" s="43"/>
      <c r="H1377" s="7" t="s">
        <v>150</v>
      </c>
      <c r="I1377" s="7" t="s">
        <v>8</v>
      </c>
      <c r="J1377" s="7" t="s">
        <v>8</v>
      </c>
      <c r="K1377" s="7" t="s">
        <v>6</v>
      </c>
      <c r="L1377" s="7" t="s">
        <v>2030</v>
      </c>
      <c r="M1377" s="7" t="s">
        <v>2653</v>
      </c>
      <c r="N1377" s="42" t="s">
        <v>1100</v>
      </c>
      <c r="O1377" s="22"/>
      <c r="P1377" s="19" t="s">
        <v>160</v>
      </c>
      <c r="Q1377" s="44" t="s">
        <v>1187</v>
      </c>
      <c r="R1377" s="44" t="s">
        <v>1601</v>
      </c>
      <c r="S1377" s="19" t="s">
        <v>160</v>
      </c>
      <c r="T1377" s="19" t="s">
        <v>160</v>
      </c>
      <c r="U1377" s="42">
        <v>1</v>
      </c>
      <c r="V1377" s="20" t="s">
        <v>160</v>
      </c>
      <c r="W1377" s="20" t="s">
        <v>160</v>
      </c>
      <c r="X1377" s="20"/>
      <c r="Y1377" s="20"/>
      <c r="Z1377" s="20"/>
      <c r="AA1377" s="20"/>
      <c r="AB1377" s="20"/>
      <c r="AC1377" s="20"/>
      <c r="AD1377" s="20"/>
      <c r="AE1377" s="20"/>
      <c r="AF1377" s="20"/>
      <c r="AG1377" s="20"/>
      <c r="AH1377" s="20"/>
      <c r="AI1377" s="20"/>
      <c r="AJ1377" s="20"/>
      <c r="AK1377" s="20"/>
      <c r="AL1377" s="20"/>
      <c r="AM1377" s="20"/>
      <c r="AN1377" s="20"/>
      <c r="AO1377" s="20"/>
      <c r="AP1377" s="20"/>
      <c r="AQ1377" s="20"/>
      <c r="AR1377" s="20"/>
      <c r="AS1377" s="20"/>
      <c r="AT1377" s="20"/>
      <c r="AU1377" s="20"/>
      <c r="AV1377" s="20"/>
      <c r="AW1377" s="20"/>
      <c r="AX1377" s="20"/>
      <c r="AY1377" s="20"/>
      <c r="AZ1377" s="20"/>
      <c r="BA1377" s="20"/>
      <c r="BB1377" s="20"/>
      <c r="BC1377" s="20"/>
      <c r="BD1377" s="20"/>
      <c r="BE1377" s="20"/>
    </row>
    <row r="1378" spans="1:57" x14ac:dyDescent="0.25">
      <c r="A1378" s="9" t="s">
        <v>706</v>
      </c>
      <c r="B1378" s="140">
        <v>90</v>
      </c>
      <c r="C1378" s="23" t="s">
        <v>757</v>
      </c>
      <c r="D1378" s="62" t="s">
        <v>135</v>
      </c>
      <c r="E1378" s="5">
        <f>57+38/60+21/3600</f>
        <v>57.639166666666668</v>
      </c>
      <c r="F1378" s="5">
        <f>18+17/60+4/3600</f>
        <v>18.284444444444446</v>
      </c>
      <c r="G1378" s="43"/>
      <c r="H1378" s="9" t="s">
        <v>150</v>
      </c>
      <c r="I1378" s="7" t="s">
        <v>708</v>
      </c>
      <c r="J1378" s="7" t="s">
        <v>708</v>
      </c>
      <c r="K1378" s="9" t="s">
        <v>40</v>
      </c>
      <c r="L1378" s="7" t="s">
        <v>2054</v>
      </c>
      <c r="M1378" s="7" t="s">
        <v>2653</v>
      </c>
      <c r="N1378" s="42" t="s">
        <v>1100</v>
      </c>
      <c r="O1378" s="22"/>
      <c r="P1378" s="19" t="s">
        <v>160</v>
      </c>
      <c r="Q1378" s="44" t="s">
        <v>1187</v>
      </c>
      <c r="R1378" s="44" t="s">
        <v>1601</v>
      </c>
      <c r="S1378" s="19" t="s">
        <v>160</v>
      </c>
      <c r="T1378" s="19" t="s">
        <v>160</v>
      </c>
      <c r="U1378" s="19">
        <v>1</v>
      </c>
      <c r="V1378" s="19" t="s">
        <v>160</v>
      </c>
      <c r="W1378" s="19" t="s">
        <v>160</v>
      </c>
      <c r="AR1378" s="19" t="s">
        <v>160</v>
      </c>
      <c r="AS1378" s="19" t="s">
        <v>160</v>
      </c>
      <c r="BB1378" s="19"/>
      <c r="BC1378" s="19"/>
      <c r="BD1378" s="19"/>
      <c r="BE1378" s="19"/>
    </row>
    <row r="1379" spans="1:57" x14ac:dyDescent="0.25">
      <c r="A1379" s="9" t="s">
        <v>8</v>
      </c>
      <c r="B1379" s="26">
        <v>35058</v>
      </c>
      <c r="C1379" s="24" t="s">
        <v>1075</v>
      </c>
      <c r="D1379" s="24" t="s">
        <v>757</v>
      </c>
      <c r="E1379" s="25">
        <f>57+35/60</f>
        <v>57.583333333333336</v>
      </c>
      <c r="F1379" s="25">
        <f>18+10/60</f>
        <v>18.166666666666668</v>
      </c>
      <c r="G1379" s="9"/>
      <c r="H1379" s="9" t="s">
        <v>150</v>
      </c>
      <c r="I1379" s="9" t="s">
        <v>8</v>
      </c>
      <c r="J1379" s="7" t="s">
        <v>8</v>
      </c>
      <c r="K1379" s="10" t="s">
        <v>951</v>
      </c>
      <c r="L1379" s="7" t="s">
        <v>2044</v>
      </c>
      <c r="M1379" s="7" t="s">
        <v>717</v>
      </c>
      <c r="N1379" s="42">
        <v>1987</v>
      </c>
      <c r="O1379" s="22"/>
      <c r="P1379" s="42" t="s">
        <v>160</v>
      </c>
      <c r="S1379" s="42" t="s">
        <v>160</v>
      </c>
      <c r="T1379" s="19" t="s">
        <v>160</v>
      </c>
      <c r="U1379" s="42"/>
      <c r="AN1379" s="19" t="s">
        <v>160</v>
      </c>
      <c r="BB1379" s="19"/>
      <c r="BC1379" s="19"/>
      <c r="BD1379" s="19"/>
      <c r="BE1379" s="19"/>
    </row>
    <row r="1380" spans="1:57" x14ac:dyDescent="0.25">
      <c r="A1380" s="9" t="s">
        <v>707</v>
      </c>
      <c r="B1380" s="39" t="s">
        <v>666</v>
      </c>
      <c r="C1380" s="45" t="s">
        <v>2015</v>
      </c>
      <c r="D1380" s="40" t="s">
        <v>667</v>
      </c>
      <c r="E1380" s="46" t="s">
        <v>2176</v>
      </c>
      <c r="F1380" s="46" t="s">
        <v>2177</v>
      </c>
      <c r="G1380" s="40"/>
      <c r="H1380" s="9" t="s">
        <v>150</v>
      </c>
      <c r="I1380" s="41" t="s">
        <v>169</v>
      </c>
      <c r="J1380" s="41" t="s">
        <v>169</v>
      </c>
      <c r="K1380" s="40" t="s">
        <v>5</v>
      </c>
      <c r="L1380" s="41" t="s">
        <v>2043</v>
      </c>
      <c r="M1380" s="7" t="s">
        <v>2653</v>
      </c>
      <c r="N1380" s="19" t="s">
        <v>1108</v>
      </c>
      <c r="V1380" s="42"/>
      <c r="W1380" s="42"/>
      <c r="X1380" s="42"/>
      <c r="Y1380" s="42"/>
      <c r="Z1380" s="42"/>
      <c r="AA1380" s="42"/>
      <c r="AB1380" s="42"/>
      <c r="AC1380" s="42"/>
      <c r="AD1380" s="42"/>
      <c r="AE1380" s="42"/>
      <c r="AF1380" s="42"/>
      <c r="AG1380" s="42"/>
      <c r="AH1380" s="42"/>
      <c r="AI1380" s="42"/>
      <c r="AJ1380" s="42"/>
      <c r="AK1380" s="42"/>
      <c r="AL1380" s="42"/>
      <c r="AM1380" s="42"/>
      <c r="AN1380" s="42"/>
      <c r="AO1380" s="42"/>
      <c r="AP1380" s="42"/>
      <c r="AQ1380" s="42"/>
      <c r="AR1380" s="42" t="s">
        <v>160</v>
      </c>
      <c r="AS1380" s="42" t="s">
        <v>160</v>
      </c>
      <c r="AZ1380" s="42"/>
      <c r="BA1380" s="42"/>
      <c r="BB1380" s="42"/>
      <c r="BC1380" s="42"/>
      <c r="BD1380" s="42"/>
      <c r="BE1380" s="42"/>
    </row>
    <row r="1381" spans="1:57" x14ac:dyDescent="0.25">
      <c r="A1381" s="53" t="s">
        <v>2763</v>
      </c>
      <c r="B1381" s="138">
        <v>35108</v>
      </c>
      <c r="C1381" s="53" t="s">
        <v>2015</v>
      </c>
      <c r="D1381" s="53" t="s">
        <v>2760</v>
      </c>
      <c r="E1381" s="35">
        <v>57.639499999999998</v>
      </c>
      <c r="F1381" s="35">
        <v>18.285</v>
      </c>
      <c r="G1381" s="53"/>
      <c r="H1381" s="9" t="s">
        <v>150</v>
      </c>
      <c r="I1381" s="7" t="s">
        <v>169</v>
      </c>
      <c r="J1381" s="53" t="s">
        <v>169</v>
      </c>
      <c r="K1381" s="24" t="s">
        <v>6</v>
      </c>
      <c r="L1381" s="24" t="s">
        <v>2030</v>
      </c>
      <c r="M1381" s="7" t="s">
        <v>2653</v>
      </c>
      <c r="N1381" s="19" t="s">
        <v>1108</v>
      </c>
      <c r="U1381" s="19">
        <v>4</v>
      </c>
      <c r="V1381" s="19" t="s">
        <v>160</v>
      </c>
      <c r="AR1381" s="19" t="s">
        <v>160</v>
      </c>
      <c r="AS1381" s="19" t="s">
        <v>160</v>
      </c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105" customFormat="1" x14ac:dyDescent="0.25">
      <c r="A1382" s="122" t="s">
        <v>2773</v>
      </c>
      <c r="B1382" s="139" t="s">
        <v>2981</v>
      </c>
      <c r="C1382" s="110" t="s">
        <v>2015</v>
      </c>
      <c r="D1382" s="153" t="s">
        <v>2015</v>
      </c>
      <c r="E1382" s="82">
        <f>57+38/60+21.27/3600</f>
        <v>57.639241666666663</v>
      </c>
      <c r="F1382" s="82">
        <f>18+17/60+4.21/3600</f>
        <v>18.284502777777778</v>
      </c>
      <c r="G1382" s="93"/>
      <c r="H1382" s="105" t="s">
        <v>150</v>
      </c>
      <c r="I1382" s="102" t="s">
        <v>169</v>
      </c>
      <c r="J1382" s="102" t="s">
        <v>169</v>
      </c>
      <c r="K1382" s="102" t="s">
        <v>40</v>
      </c>
      <c r="L1382" s="102" t="s">
        <v>2054</v>
      </c>
      <c r="M1382" s="105" t="s">
        <v>2653</v>
      </c>
      <c r="N1382" s="108" t="s">
        <v>1108</v>
      </c>
      <c r="O1382" s="108"/>
      <c r="P1382" s="108"/>
      <c r="Q1382" s="108"/>
      <c r="R1382" s="108"/>
      <c r="S1382" s="108"/>
      <c r="T1382" s="108"/>
      <c r="U1382" s="108">
        <v>4</v>
      </c>
      <c r="V1382" s="108" t="s">
        <v>160</v>
      </c>
      <c r="W1382" s="108"/>
      <c r="X1382" s="108"/>
      <c r="Y1382" s="108"/>
      <c r="Z1382" s="108"/>
      <c r="AA1382" s="108"/>
      <c r="AB1382" s="108"/>
      <c r="AC1382" s="108"/>
      <c r="AD1382" s="108"/>
      <c r="AE1382" s="108"/>
      <c r="AF1382" s="108"/>
      <c r="AG1382" s="108"/>
      <c r="AH1382" s="108"/>
      <c r="AI1382" s="108"/>
      <c r="AJ1382" s="108"/>
      <c r="AK1382" s="108"/>
      <c r="AL1382" s="108"/>
      <c r="AM1382" s="108"/>
      <c r="AN1382" s="108"/>
      <c r="AO1382" s="108"/>
      <c r="AP1382" s="108"/>
      <c r="AQ1382" s="108"/>
      <c r="AR1382" s="108" t="s">
        <v>160</v>
      </c>
      <c r="AS1382" s="108" t="s">
        <v>160</v>
      </c>
      <c r="AT1382" s="108"/>
      <c r="AU1382" s="108"/>
      <c r="AV1382" s="108"/>
      <c r="AW1382" s="108"/>
      <c r="AX1382" s="108"/>
      <c r="AY1382" s="108"/>
      <c r="AZ1382" s="108"/>
      <c r="BA1382" s="108"/>
      <c r="BB1382" s="108"/>
      <c r="BC1382" s="108"/>
      <c r="BD1382" s="108"/>
      <c r="BE1382" s="108"/>
    </row>
    <row r="1383" spans="1:57" s="7" customFormat="1" x14ac:dyDescent="0.25">
      <c r="A1383" s="21" t="s">
        <v>8</v>
      </c>
      <c r="B1383" s="142">
        <v>35108</v>
      </c>
      <c r="C1383" s="23" t="s">
        <v>2015</v>
      </c>
      <c r="D1383" s="24" t="s">
        <v>2015</v>
      </c>
      <c r="E1383" s="193">
        <v>57.639299999999999</v>
      </c>
      <c r="F1383" s="193">
        <v>18.284500000000001</v>
      </c>
      <c r="G1383" s="5"/>
      <c r="H1383" s="7" t="s">
        <v>150</v>
      </c>
      <c r="I1383" s="24" t="s">
        <v>169</v>
      </c>
      <c r="J1383" s="24" t="s">
        <v>169</v>
      </c>
      <c r="K1383" s="24" t="s">
        <v>40</v>
      </c>
      <c r="L1383" s="24" t="s">
        <v>2054</v>
      </c>
      <c r="M1383" s="7" t="s">
        <v>2653</v>
      </c>
      <c r="N1383" s="19" t="s">
        <v>1108</v>
      </c>
      <c r="O1383" s="19"/>
      <c r="P1383" s="19"/>
      <c r="Q1383" s="19"/>
      <c r="R1383" s="19"/>
      <c r="S1383" s="19"/>
      <c r="T1383" s="19"/>
      <c r="U1383" s="19">
        <v>4</v>
      </c>
      <c r="V1383" s="19" t="s">
        <v>160</v>
      </c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9"/>
      <c r="AK1383" s="19"/>
      <c r="AL1383" s="19"/>
      <c r="AM1383" s="19"/>
      <c r="AN1383" s="19"/>
      <c r="AO1383" s="19"/>
      <c r="AP1383" s="19"/>
      <c r="AQ1383" s="19"/>
      <c r="AR1383" s="19" t="s">
        <v>160</v>
      </c>
      <c r="AS1383" s="19" t="s">
        <v>160</v>
      </c>
      <c r="AT1383" s="19"/>
      <c r="AU1383" s="19"/>
      <c r="AV1383" s="19"/>
      <c r="AW1383" s="19"/>
      <c r="AX1383" s="19"/>
      <c r="AY1383" s="19"/>
      <c r="AZ1383" s="19"/>
      <c r="BA1383" s="19"/>
      <c r="BB1383" s="19"/>
      <c r="BC1383" s="19"/>
      <c r="BD1383" s="19"/>
      <c r="BE1383" s="19"/>
    </row>
    <row r="1384" spans="1:57" s="7" customFormat="1" x14ac:dyDescent="0.25">
      <c r="A1384" s="21" t="s">
        <v>706</v>
      </c>
      <c r="B1384" s="142" t="s">
        <v>2982</v>
      </c>
      <c r="C1384" s="23" t="s">
        <v>2015</v>
      </c>
      <c r="D1384" s="62" t="s">
        <v>2015</v>
      </c>
      <c r="E1384" s="5">
        <f>57+38/60+21/3600</f>
        <v>57.639166666666668</v>
      </c>
      <c r="F1384" s="5">
        <f>18+17/60+4/3600</f>
        <v>18.284444444444446</v>
      </c>
      <c r="G1384" s="5"/>
      <c r="H1384" s="7" t="s">
        <v>150</v>
      </c>
      <c r="I1384" s="24" t="s">
        <v>169</v>
      </c>
      <c r="J1384" s="24" t="s">
        <v>169</v>
      </c>
      <c r="K1384" s="24" t="s">
        <v>40</v>
      </c>
      <c r="L1384" s="24" t="s">
        <v>2054</v>
      </c>
      <c r="M1384" s="7" t="s">
        <v>2653</v>
      </c>
      <c r="N1384" s="19" t="s">
        <v>1108</v>
      </c>
      <c r="O1384" s="19"/>
      <c r="P1384" s="19"/>
      <c r="Q1384" s="19"/>
      <c r="R1384" s="19"/>
      <c r="S1384" s="19"/>
      <c r="T1384" s="19"/>
      <c r="U1384" s="19">
        <v>4</v>
      </c>
      <c r="V1384" s="19" t="s">
        <v>160</v>
      </c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  <c r="AK1384" s="19"/>
      <c r="AL1384" s="19"/>
      <c r="AM1384" s="19"/>
      <c r="AN1384" s="19"/>
      <c r="AO1384" s="19"/>
      <c r="AP1384" s="19"/>
      <c r="AQ1384" s="19"/>
      <c r="AR1384" s="19" t="s">
        <v>160</v>
      </c>
      <c r="AS1384" s="19" t="s">
        <v>160</v>
      </c>
      <c r="AT1384" s="19"/>
      <c r="AU1384" s="19"/>
      <c r="AV1384" s="19"/>
      <c r="AW1384" s="19"/>
      <c r="AX1384" s="19"/>
      <c r="AY1384" s="19"/>
      <c r="AZ1384" s="19"/>
      <c r="BA1384" s="19"/>
      <c r="BB1384" s="19"/>
      <c r="BC1384" s="19"/>
      <c r="BD1384" s="19"/>
      <c r="BE1384" s="19"/>
    </row>
    <row r="1385" spans="1:57" x14ac:dyDescent="0.25">
      <c r="A1385" s="6" t="s">
        <v>8</v>
      </c>
      <c r="B1385" s="9">
        <v>78390</v>
      </c>
      <c r="C1385" s="9" t="s">
        <v>2265</v>
      </c>
      <c r="D1385" s="9" t="s">
        <v>757</v>
      </c>
      <c r="E1385" s="3">
        <v>57.636000000000003</v>
      </c>
      <c r="F1385" s="3">
        <v>18.289100000000001</v>
      </c>
      <c r="G1385" s="9">
        <v>28</v>
      </c>
      <c r="H1385" s="9" t="s">
        <v>150</v>
      </c>
      <c r="I1385" s="6" t="s">
        <v>8</v>
      </c>
      <c r="J1385" s="21" t="s">
        <v>8</v>
      </c>
      <c r="K1385" s="3" t="s">
        <v>5</v>
      </c>
      <c r="L1385" s="5" t="s">
        <v>2680</v>
      </c>
      <c r="M1385" s="7" t="s">
        <v>717</v>
      </c>
      <c r="N1385" s="19" t="s">
        <v>2555</v>
      </c>
      <c r="O1385" s="22"/>
      <c r="P1385" s="19" t="s">
        <v>160</v>
      </c>
      <c r="AR1385" s="19" t="s">
        <v>160</v>
      </c>
      <c r="AT1385" s="19" t="s">
        <v>160</v>
      </c>
      <c r="AV1385" s="19" t="s">
        <v>160</v>
      </c>
      <c r="AX1385" s="19" t="s">
        <v>160</v>
      </c>
      <c r="AZ1385" s="19" t="s">
        <v>160</v>
      </c>
      <c r="BB1385" s="19"/>
      <c r="BC1385" s="19"/>
      <c r="BD1385" s="19"/>
      <c r="BE1385" s="19"/>
    </row>
    <row r="1386" spans="1:57" x14ac:dyDescent="0.25">
      <c r="A1386" s="6" t="s">
        <v>8</v>
      </c>
      <c r="B1386" s="9">
        <v>78400</v>
      </c>
      <c r="C1386" s="9" t="s">
        <v>2453</v>
      </c>
      <c r="D1386" s="9" t="s">
        <v>1572</v>
      </c>
      <c r="E1386" s="3">
        <v>57.6614</v>
      </c>
      <c r="F1386" s="3">
        <v>18.3428</v>
      </c>
      <c r="G1386" s="9">
        <v>42</v>
      </c>
      <c r="H1386" s="9"/>
      <c r="I1386" s="21" t="s">
        <v>8</v>
      </c>
      <c r="J1386" s="21" t="s">
        <v>8</v>
      </c>
      <c r="K1386" s="3" t="s">
        <v>5</v>
      </c>
      <c r="L1386" s="5" t="s">
        <v>2680</v>
      </c>
      <c r="M1386" s="7" t="s">
        <v>2653</v>
      </c>
      <c r="N1386" s="19" t="s">
        <v>2556</v>
      </c>
      <c r="O1386" s="22"/>
      <c r="P1386" s="19" t="s">
        <v>160</v>
      </c>
      <c r="AR1386" s="19" t="s">
        <v>160</v>
      </c>
      <c r="AS1386" s="19" t="s">
        <v>160</v>
      </c>
      <c r="AT1386" s="19" t="s">
        <v>160</v>
      </c>
      <c r="AU1386" s="19" t="s">
        <v>160</v>
      </c>
      <c r="AV1386" s="19" t="s">
        <v>160</v>
      </c>
      <c r="AW1386" s="19" t="s">
        <v>160</v>
      </c>
      <c r="AX1386" s="19" t="s">
        <v>160</v>
      </c>
      <c r="AY1386" s="19" t="s">
        <v>160</v>
      </c>
      <c r="AZ1386" s="19" t="s">
        <v>160</v>
      </c>
      <c r="BA1386" s="19" t="s">
        <v>160</v>
      </c>
      <c r="BB1386" s="19"/>
      <c r="BC1386" s="19"/>
      <c r="BD1386" s="19"/>
      <c r="BE1386" s="19"/>
    </row>
    <row r="1387" spans="1:57" x14ac:dyDescent="0.25">
      <c r="A1387" s="6" t="s">
        <v>8</v>
      </c>
      <c r="B1387" s="9">
        <v>84060</v>
      </c>
      <c r="C1387" s="9" t="s">
        <v>2425</v>
      </c>
      <c r="D1387" s="9" t="s">
        <v>1573</v>
      </c>
      <c r="E1387" s="3">
        <v>58.090800000000002</v>
      </c>
      <c r="F1387" s="3">
        <v>14.401</v>
      </c>
      <c r="G1387" s="9">
        <v>110</v>
      </c>
      <c r="H1387" s="9" t="s">
        <v>1367</v>
      </c>
      <c r="I1387" s="6" t="s">
        <v>8</v>
      </c>
      <c r="J1387" s="21" t="s">
        <v>8</v>
      </c>
      <c r="K1387" s="3" t="s">
        <v>5</v>
      </c>
      <c r="L1387" s="5" t="s">
        <v>2680</v>
      </c>
      <c r="M1387" s="7" t="s">
        <v>717</v>
      </c>
      <c r="N1387" s="19" t="s">
        <v>2557</v>
      </c>
      <c r="O1387" s="22"/>
      <c r="P1387" s="19" t="s">
        <v>160</v>
      </c>
      <c r="AR1387" s="19" t="s">
        <v>160</v>
      </c>
      <c r="AT1387" s="19" t="s">
        <v>160</v>
      </c>
      <c r="AV1387" s="19" t="s">
        <v>160</v>
      </c>
      <c r="AX1387" s="19" t="s">
        <v>160</v>
      </c>
      <c r="AZ1387" s="19" t="s">
        <v>160</v>
      </c>
      <c r="BB1387" s="19"/>
      <c r="BC1387" s="19"/>
      <c r="BD1387" s="19"/>
      <c r="BE1387" s="19"/>
    </row>
    <row r="1388" spans="1:57" s="33" customFormat="1" x14ac:dyDescent="0.25">
      <c r="A1388" s="32" t="s">
        <v>707</v>
      </c>
      <c r="C1388" s="33" t="s">
        <v>1574</v>
      </c>
      <c r="D1388" s="33" t="s">
        <v>2730</v>
      </c>
      <c r="E1388" s="35"/>
      <c r="F1388" s="35"/>
      <c r="H1388" s="33" t="s">
        <v>1367</v>
      </c>
      <c r="I1388" s="21" t="s">
        <v>8</v>
      </c>
      <c r="J1388" s="32" t="s">
        <v>8</v>
      </c>
      <c r="K1388" s="35" t="s">
        <v>5</v>
      </c>
      <c r="L1388" s="35" t="s">
        <v>2043</v>
      </c>
      <c r="M1388" s="33" t="s">
        <v>2653</v>
      </c>
      <c r="N1388" s="37" t="s">
        <v>2303</v>
      </c>
      <c r="O1388" s="67"/>
      <c r="P1388" s="37" t="s">
        <v>160</v>
      </c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37"/>
      <c r="AE1388" s="37"/>
      <c r="AF1388" s="37"/>
      <c r="AG1388" s="37"/>
      <c r="AH1388" s="37"/>
      <c r="AI1388" s="37"/>
      <c r="AJ1388" s="37"/>
      <c r="AK1388" s="37"/>
      <c r="AL1388" s="37"/>
      <c r="AM1388" s="37"/>
      <c r="AN1388" s="37"/>
      <c r="AO1388" s="37"/>
      <c r="AP1388" s="37"/>
      <c r="AQ1388" s="37"/>
      <c r="AR1388" s="37" t="s">
        <v>160</v>
      </c>
      <c r="AS1388" s="37" t="s">
        <v>160</v>
      </c>
      <c r="AT1388" s="37"/>
      <c r="AU1388" s="37"/>
      <c r="AV1388" s="37"/>
      <c r="AW1388" s="37"/>
      <c r="AX1388" s="37"/>
      <c r="AY1388" s="37"/>
      <c r="AZ1388" s="37"/>
      <c r="BA1388" s="37"/>
      <c r="BB1388" s="37"/>
      <c r="BC1388" s="37"/>
      <c r="BD1388" s="37"/>
      <c r="BE1388" s="37"/>
    </row>
    <row r="1389" spans="1:57" x14ac:dyDescent="0.25">
      <c r="A1389" s="6" t="s">
        <v>8</v>
      </c>
      <c r="B1389" s="9">
        <v>84050</v>
      </c>
      <c r="C1389" s="9" t="s">
        <v>1574</v>
      </c>
      <c r="D1389" s="9" t="s">
        <v>1575</v>
      </c>
      <c r="E1389" s="3">
        <v>58.094799999999999</v>
      </c>
      <c r="F1389" s="3">
        <v>14.405799999999999</v>
      </c>
      <c r="G1389" s="9">
        <v>93.581999999999994</v>
      </c>
      <c r="H1389" s="9" t="s">
        <v>1367</v>
      </c>
      <c r="I1389" s="21" t="s">
        <v>8</v>
      </c>
      <c r="J1389" s="21" t="s">
        <v>8</v>
      </c>
      <c r="K1389" s="3" t="s">
        <v>5</v>
      </c>
      <c r="L1389" s="5" t="s">
        <v>2681</v>
      </c>
      <c r="M1389" s="7" t="s">
        <v>2653</v>
      </c>
      <c r="N1389" s="19" t="s">
        <v>2303</v>
      </c>
      <c r="O1389" s="22"/>
      <c r="P1389" s="19" t="s">
        <v>160</v>
      </c>
      <c r="AR1389" s="19" t="s">
        <v>160</v>
      </c>
      <c r="AS1389" s="19" t="s">
        <v>160</v>
      </c>
      <c r="AT1389" s="19" t="s">
        <v>160</v>
      </c>
      <c r="AU1389" s="19" t="s">
        <v>160</v>
      </c>
      <c r="AX1389" s="19" t="s">
        <v>160</v>
      </c>
      <c r="AY1389" s="19" t="s">
        <v>160</v>
      </c>
      <c r="AZ1389" s="19" t="s">
        <v>160</v>
      </c>
      <c r="BA1389" s="19" t="s">
        <v>160</v>
      </c>
      <c r="BB1389" s="19"/>
      <c r="BC1389" s="19"/>
      <c r="BD1389" s="19"/>
      <c r="BE1389" s="19"/>
    </row>
    <row r="1390" spans="1:57" x14ac:dyDescent="0.25">
      <c r="A1390" s="6" t="s">
        <v>706</v>
      </c>
      <c r="B1390" s="9">
        <v>206</v>
      </c>
      <c r="C1390" s="9" t="s">
        <v>1574</v>
      </c>
      <c r="D1390" s="88" t="s">
        <v>2729</v>
      </c>
      <c r="E1390" s="3">
        <f>58+5/60+41/3600</f>
        <v>58.094722222222224</v>
      </c>
      <c r="F1390" s="3">
        <f>14+24/60+21/3600</f>
        <v>14.405833333333334</v>
      </c>
      <c r="G1390" s="9"/>
      <c r="H1390" s="9" t="s">
        <v>1367</v>
      </c>
      <c r="I1390" s="21" t="s">
        <v>8</v>
      </c>
      <c r="J1390" s="21" t="s">
        <v>8</v>
      </c>
      <c r="K1390" s="3" t="s">
        <v>5</v>
      </c>
      <c r="L1390" s="5" t="s">
        <v>2043</v>
      </c>
      <c r="M1390" s="7" t="s">
        <v>2653</v>
      </c>
      <c r="N1390" s="19" t="s">
        <v>2303</v>
      </c>
      <c r="O1390" s="22"/>
      <c r="P1390" s="19" t="s">
        <v>160</v>
      </c>
      <c r="AR1390" s="19" t="s">
        <v>160</v>
      </c>
      <c r="AS1390" s="19" t="s">
        <v>160</v>
      </c>
      <c r="BB1390" s="19"/>
      <c r="BC1390" s="19"/>
      <c r="BD1390" s="19"/>
      <c r="BE1390" s="19"/>
    </row>
    <row r="1391" spans="1:57" x14ac:dyDescent="0.25">
      <c r="A1391" s="6" t="s">
        <v>707</v>
      </c>
      <c r="B1391" s="65" t="s">
        <v>2628</v>
      </c>
      <c r="C1391" s="9" t="s">
        <v>714</v>
      </c>
      <c r="D1391" s="65" t="s">
        <v>2629</v>
      </c>
      <c r="E1391" s="5" t="s">
        <v>16</v>
      </c>
      <c r="F1391" s="5" t="s">
        <v>16</v>
      </c>
      <c r="G1391" s="9"/>
      <c r="H1391" s="9" t="s">
        <v>150</v>
      </c>
      <c r="I1391" s="21" t="s">
        <v>708</v>
      </c>
      <c r="J1391" s="21" t="s">
        <v>8</v>
      </c>
      <c r="K1391" s="3" t="s">
        <v>124</v>
      </c>
      <c r="L1391" s="24" t="s">
        <v>2682</v>
      </c>
      <c r="M1391" s="7" t="s">
        <v>2653</v>
      </c>
      <c r="N1391" s="19" t="s">
        <v>1124</v>
      </c>
      <c r="O1391" s="22"/>
      <c r="X1391" s="19" t="s">
        <v>160</v>
      </c>
      <c r="Y1391" s="19" t="s">
        <v>160</v>
      </c>
      <c r="AR1391" s="19" t="s">
        <v>160</v>
      </c>
      <c r="AS1391" s="19" t="s">
        <v>160</v>
      </c>
      <c r="AT1391" s="19" t="s">
        <v>160</v>
      </c>
      <c r="AU1391" s="19" t="s">
        <v>160</v>
      </c>
      <c r="AV1391" s="19" t="s">
        <v>160</v>
      </c>
      <c r="AW1391" s="19" t="s">
        <v>160</v>
      </c>
      <c r="AX1391" s="19" t="s">
        <v>160</v>
      </c>
      <c r="AY1391" s="19" t="s">
        <v>160</v>
      </c>
      <c r="BB1391" s="19"/>
      <c r="BC1391" s="19"/>
      <c r="BD1391" s="19"/>
      <c r="BE1391" s="19"/>
    </row>
    <row r="1392" spans="1:57" x14ac:dyDescent="0.25">
      <c r="A1392" s="6" t="s">
        <v>8</v>
      </c>
      <c r="B1392" s="26" t="s">
        <v>2961</v>
      </c>
      <c r="C1392" s="26" t="s">
        <v>714</v>
      </c>
      <c r="D1392" s="62" t="s">
        <v>140</v>
      </c>
      <c r="E1392" s="25" t="s">
        <v>16</v>
      </c>
      <c r="F1392" s="25" t="s">
        <v>16</v>
      </c>
      <c r="G1392" s="25"/>
      <c r="H1392" s="9" t="s">
        <v>150</v>
      </c>
      <c r="I1392" s="21" t="s">
        <v>708</v>
      </c>
      <c r="J1392" s="21" t="s">
        <v>8</v>
      </c>
      <c r="K1392" s="10" t="s">
        <v>124</v>
      </c>
      <c r="L1392" s="24" t="s">
        <v>2682</v>
      </c>
      <c r="M1392" s="7" t="s">
        <v>2653</v>
      </c>
      <c r="N1392" s="19" t="s">
        <v>1124</v>
      </c>
      <c r="O1392" s="19" t="s">
        <v>160</v>
      </c>
      <c r="P1392" s="19" t="s">
        <v>160</v>
      </c>
      <c r="S1392" s="19" t="s">
        <v>160</v>
      </c>
      <c r="T1392" s="19" t="s">
        <v>160</v>
      </c>
      <c r="X1392" s="19" t="s">
        <v>160</v>
      </c>
      <c r="Y1392" s="19" t="s">
        <v>160</v>
      </c>
      <c r="AR1392" s="19" t="s">
        <v>160</v>
      </c>
      <c r="AS1392" s="19" t="s">
        <v>160</v>
      </c>
      <c r="AT1392" s="19" t="s">
        <v>160</v>
      </c>
      <c r="AU1392" s="19" t="s">
        <v>160</v>
      </c>
      <c r="AV1392" s="19" t="s">
        <v>160</v>
      </c>
      <c r="AW1392" s="19" t="s">
        <v>160</v>
      </c>
      <c r="AX1392" s="19" t="s">
        <v>160</v>
      </c>
      <c r="AY1392" s="19" t="s">
        <v>160</v>
      </c>
      <c r="BB1392" s="19"/>
      <c r="BC1392" s="19"/>
      <c r="BD1392" s="19"/>
      <c r="BE1392" s="19"/>
    </row>
    <row r="1393" spans="1:57" x14ac:dyDescent="0.25">
      <c r="A1393" s="6" t="s">
        <v>8</v>
      </c>
      <c r="B1393" s="26">
        <v>38008</v>
      </c>
      <c r="C1393" s="26" t="s">
        <v>714</v>
      </c>
      <c r="D1393" s="77" t="s">
        <v>714</v>
      </c>
      <c r="E1393" s="25" t="s">
        <v>16</v>
      </c>
      <c r="F1393" s="25" t="s">
        <v>16</v>
      </c>
      <c r="G1393" s="25"/>
      <c r="H1393" s="9" t="s">
        <v>150</v>
      </c>
      <c r="I1393" s="21" t="s">
        <v>708</v>
      </c>
      <c r="J1393" s="21" t="s">
        <v>8</v>
      </c>
      <c r="K1393" s="10" t="s">
        <v>124</v>
      </c>
      <c r="L1393" s="24" t="s">
        <v>2682</v>
      </c>
      <c r="M1393" s="7" t="s">
        <v>2653</v>
      </c>
      <c r="N1393" s="19" t="s">
        <v>1124</v>
      </c>
      <c r="O1393" s="19" t="s">
        <v>160</v>
      </c>
      <c r="P1393" s="19" t="s">
        <v>160</v>
      </c>
      <c r="S1393" s="19" t="s">
        <v>160</v>
      </c>
      <c r="T1393" s="19" t="s">
        <v>160</v>
      </c>
      <c r="X1393" s="19" t="s">
        <v>160</v>
      </c>
      <c r="Y1393" s="19" t="s">
        <v>160</v>
      </c>
      <c r="AR1393" s="19" t="s">
        <v>160</v>
      </c>
      <c r="AS1393" s="19" t="s">
        <v>160</v>
      </c>
      <c r="AT1393" s="19" t="s">
        <v>160</v>
      </c>
      <c r="AU1393" s="19" t="s">
        <v>160</v>
      </c>
      <c r="AV1393" s="19" t="s">
        <v>160</v>
      </c>
      <c r="AW1393" s="19" t="s">
        <v>160</v>
      </c>
      <c r="AX1393" s="19" t="s">
        <v>160</v>
      </c>
      <c r="AY1393" s="19" t="s">
        <v>160</v>
      </c>
      <c r="BB1393" s="19"/>
      <c r="BC1393" s="19"/>
      <c r="BD1393" s="19"/>
      <c r="BE1393" s="19"/>
    </row>
    <row r="1394" spans="1:57" x14ac:dyDescent="0.25">
      <c r="A1394" s="9" t="s">
        <v>706</v>
      </c>
      <c r="B1394" s="38">
        <v>20</v>
      </c>
      <c r="C1394" s="38" t="s">
        <v>714</v>
      </c>
      <c r="D1394" s="62" t="s">
        <v>140</v>
      </c>
      <c r="E1394" s="3" t="s">
        <v>16</v>
      </c>
      <c r="F1394" s="3" t="s">
        <v>16</v>
      </c>
      <c r="H1394" s="9" t="s">
        <v>150</v>
      </c>
      <c r="I1394" s="21" t="s">
        <v>708</v>
      </c>
      <c r="J1394" s="21" t="s">
        <v>8</v>
      </c>
      <c r="K1394" s="9" t="s">
        <v>124</v>
      </c>
      <c r="L1394" s="7" t="s">
        <v>2682</v>
      </c>
      <c r="M1394" s="7" t="s">
        <v>2653</v>
      </c>
      <c r="N1394" s="19" t="s">
        <v>1124</v>
      </c>
      <c r="O1394" s="19" t="s">
        <v>160</v>
      </c>
      <c r="P1394" s="19" t="s">
        <v>160</v>
      </c>
      <c r="S1394" s="19" t="s">
        <v>160</v>
      </c>
      <c r="T1394" s="19" t="s">
        <v>160</v>
      </c>
      <c r="X1394" s="19" t="s">
        <v>160</v>
      </c>
      <c r="Y1394" s="19" t="s">
        <v>160</v>
      </c>
      <c r="AR1394" s="19" t="s">
        <v>160</v>
      </c>
      <c r="AS1394" s="19" t="s">
        <v>160</v>
      </c>
      <c r="AT1394" s="19" t="s">
        <v>160</v>
      </c>
      <c r="AU1394" s="19" t="s">
        <v>160</v>
      </c>
      <c r="AV1394" s="19" t="s">
        <v>160</v>
      </c>
      <c r="AW1394" s="19" t="s">
        <v>160</v>
      </c>
      <c r="AX1394" s="19" t="s">
        <v>160</v>
      </c>
      <c r="AY1394" s="19" t="s">
        <v>160</v>
      </c>
      <c r="BB1394" s="19"/>
      <c r="BC1394" s="19"/>
      <c r="BD1394" s="19"/>
      <c r="BE1394" s="19"/>
    </row>
    <row r="1395" spans="1:57" s="94" customFormat="1" x14ac:dyDescent="0.25">
      <c r="A1395" s="94" t="s">
        <v>2773</v>
      </c>
      <c r="B1395" s="136">
        <v>2093</v>
      </c>
      <c r="C1395" s="109" t="s">
        <v>968</v>
      </c>
      <c r="D1395" s="184" t="s">
        <v>968</v>
      </c>
      <c r="E1395" s="82">
        <f>55+25/60+37.28/3600</f>
        <v>55.42702222222222</v>
      </c>
      <c r="F1395" s="82">
        <f>13+49/60+32.88/3600</f>
        <v>13.825799999999999</v>
      </c>
      <c r="G1395" s="82"/>
      <c r="H1395" s="94" t="s">
        <v>150</v>
      </c>
      <c r="I1395" s="112" t="s">
        <v>8</v>
      </c>
      <c r="J1395" s="113" t="s">
        <v>8</v>
      </c>
      <c r="K1395" s="94" t="s">
        <v>6</v>
      </c>
      <c r="L1395" s="105" t="s">
        <v>2030</v>
      </c>
      <c r="M1395" s="102" t="s">
        <v>717</v>
      </c>
      <c r="N1395" s="108" t="s">
        <v>1188</v>
      </c>
      <c r="O1395" s="104"/>
      <c r="P1395" s="108" t="s">
        <v>160</v>
      </c>
      <c r="Q1395" s="107" t="s">
        <v>1189</v>
      </c>
      <c r="R1395" s="107" t="s">
        <v>1602</v>
      </c>
      <c r="S1395" s="108" t="s">
        <v>160</v>
      </c>
      <c r="T1395" s="108" t="s">
        <v>160</v>
      </c>
      <c r="U1395" s="108">
        <v>4</v>
      </c>
      <c r="V1395" s="108" t="s">
        <v>160</v>
      </c>
      <c r="W1395" s="108"/>
      <c r="X1395" s="108"/>
      <c r="Y1395" s="108"/>
      <c r="Z1395" s="108"/>
      <c r="AA1395" s="108"/>
      <c r="AB1395" s="108"/>
      <c r="AC1395" s="108"/>
      <c r="AD1395" s="108"/>
      <c r="AE1395" s="108"/>
      <c r="AF1395" s="108"/>
      <c r="AG1395" s="108"/>
      <c r="AH1395" s="108"/>
      <c r="AI1395" s="108"/>
      <c r="AJ1395" s="108"/>
      <c r="AK1395" s="108"/>
      <c r="AL1395" s="108"/>
      <c r="AM1395" s="108"/>
      <c r="AN1395" s="108"/>
      <c r="AO1395" s="108"/>
      <c r="AP1395" s="108"/>
      <c r="AQ1395" s="108"/>
      <c r="AR1395" s="108"/>
      <c r="AS1395" s="108"/>
      <c r="AT1395" s="108"/>
      <c r="AU1395" s="108"/>
      <c r="AV1395" s="108"/>
      <c r="AW1395" s="108"/>
      <c r="AX1395" s="108"/>
      <c r="AY1395" s="108"/>
      <c r="AZ1395" s="108"/>
      <c r="BA1395" s="108"/>
      <c r="BB1395" s="108"/>
      <c r="BC1395" s="108"/>
      <c r="BD1395" s="108"/>
      <c r="BE1395" s="108"/>
    </row>
    <row r="1396" spans="1:57" x14ac:dyDescent="0.25">
      <c r="A1396" s="9" t="s">
        <v>8</v>
      </c>
      <c r="B1396" s="140">
        <v>2093</v>
      </c>
      <c r="C1396" s="38" t="s">
        <v>968</v>
      </c>
      <c r="D1396" t="s">
        <v>968</v>
      </c>
      <c r="E1396" s="193">
        <v>55.427100000000003</v>
      </c>
      <c r="F1396" s="193">
        <v>13.825799999999999</v>
      </c>
      <c r="H1396" s="9" t="s">
        <v>150</v>
      </c>
      <c r="I1396" s="40" t="s">
        <v>8</v>
      </c>
      <c r="J1396" s="41" t="s">
        <v>8</v>
      </c>
      <c r="K1396" s="9" t="s">
        <v>6</v>
      </c>
      <c r="L1396" s="7" t="s">
        <v>2030</v>
      </c>
      <c r="M1396" s="24" t="s">
        <v>717</v>
      </c>
      <c r="N1396" s="19" t="s">
        <v>1188</v>
      </c>
      <c r="O1396" s="22"/>
      <c r="P1396" s="19" t="s">
        <v>160</v>
      </c>
      <c r="Q1396" s="44" t="s">
        <v>1189</v>
      </c>
      <c r="R1396" s="44" t="s">
        <v>1602</v>
      </c>
      <c r="S1396" s="19" t="s">
        <v>160</v>
      </c>
      <c r="T1396" s="19" t="s">
        <v>160</v>
      </c>
      <c r="U1396" s="19">
        <v>4</v>
      </c>
      <c r="V1396" s="19" t="s">
        <v>160</v>
      </c>
      <c r="BB1396" s="19"/>
      <c r="BC1396" s="19"/>
      <c r="BD1396" s="19"/>
      <c r="BE1396" s="19"/>
    </row>
    <row r="1397" spans="1:57" x14ac:dyDescent="0.25">
      <c r="A1397" s="9" t="s">
        <v>707</v>
      </c>
      <c r="B1397" s="137" t="s">
        <v>689</v>
      </c>
      <c r="C1397" s="9" t="s">
        <v>765</v>
      </c>
      <c r="D1397" s="40" t="s">
        <v>690</v>
      </c>
      <c r="E1397" s="46" t="s">
        <v>2178</v>
      </c>
      <c r="F1397" s="46" t="s">
        <v>2179</v>
      </c>
      <c r="G1397" s="40"/>
      <c r="H1397" s="9" t="s">
        <v>150</v>
      </c>
      <c r="I1397" s="41" t="s">
        <v>688</v>
      </c>
      <c r="J1397" s="5" t="s">
        <v>169</v>
      </c>
      <c r="K1397" s="6" t="s">
        <v>6</v>
      </c>
      <c r="L1397" s="7" t="s">
        <v>2030</v>
      </c>
      <c r="M1397" s="7" t="s">
        <v>2653</v>
      </c>
      <c r="N1397" s="19" t="s">
        <v>1118</v>
      </c>
      <c r="O1397" s="19" t="s">
        <v>160</v>
      </c>
      <c r="P1397" s="42" t="s">
        <v>160</v>
      </c>
      <c r="Q1397" s="44" t="s">
        <v>1189</v>
      </c>
      <c r="S1397" s="19" t="s">
        <v>160</v>
      </c>
      <c r="T1397" s="19" t="s">
        <v>160</v>
      </c>
      <c r="U1397" s="19">
        <v>1</v>
      </c>
      <c r="V1397" s="19" t="s">
        <v>160</v>
      </c>
      <c r="W1397" s="19" t="s">
        <v>160</v>
      </c>
      <c r="BB1397" s="19"/>
      <c r="BC1397" s="19"/>
      <c r="BD1397" s="19"/>
      <c r="BE1397" s="19"/>
    </row>
    <row r="1398" spans="1:57" x14ac:dyDescent="0.25">
      <c r="A1398" s="9" t="s">
        <v>707</v>
      </c>
      <c r="B1398" s="39" t="s">
        <v>686</v>
      </c>
      <c r="C1398" s="45" t="s">
        <v>765</v>
      </c>
      <c r="D1398" s="40" t="s">
        <v>687</v>
      </c>
      <c r="E1398" s="46" t="s">
        <v>2178</v>
      </c>
      <c r="F1398" s="46" t="s">
        <v>2179</v>
      </c>
      <c r="G1398" s="40"/>
      <c r="H1398" s="9" t="s">
        <v>150</v>
      </c>
      <c r="I1398" s="40" t="s">
        <v>688</v>
      </c>
      <c r="J1398" s="5" t="s">
        <v>169</v>
      </c>
      <c r="K1398" s="40" t="s">
        <v>5</v>
      </c>
      <c r="L1398" s="41" t="s">
        <v>2043</v>
      </c>
      <c r="M1398" s="7" t="s">
        <v>717</v>
      </c>
      <c r="N1398" s="19" t="s">
        <v>1118</v>
      </c>
      <c r="V1398" s="42"/>
      <c r="W1398" s="42"/>
      <c r="X1398" s="42"/>
      <c r="Y1398" s="42"/>
      <c r="Z1398" s="42"/>
      <c r="AA1398" s="42"/>
      <c r="AB1398" s="42"/>
      <c r="AC1398" s="42"/>
      <c r="AD1398" s="42"/>
      <c r="AE1398" s="42"/>
      <c r="AF1398" s="42"/>
      <c r="AG1398" s="42"/>
      <c r="AH1398" s="42"/>
      <c r="AI1398" s="42"/>
      <c r="AJ1398" s="42"/>
      <c r="AK1398" s="42"/>
      <c r="AL1398" s="42"/>
      <c r="AM1398" s="42"/>
      <c r="AN1398" s="42"/>
      <c r="AO1398" s="42"/>
      <c r="AP1398" s="42"/>
      <c r="AQ1398" s="42"/>
      <c r="AR1398" s="42" t="s">
        <v>160</v>
      </c>
      <c r="AS1398" s="42" t="s">
        <v>160</v>
      </c>
      <c r="AZ1398" s="42"/>
      <c r="BA1398" s="42"/>
      <c r="BB1398" s="42"/>
      <c r="BC1398" s="42"/>
      <c r="BD1398" s="42"/>
      <c r="BE1398" s="42"/>
    </row>
    <row r="1399" spans="1:57" x14ac:dyDescent="0.25">
      <c r="A1399" s="53" t="s">
        <v>2763</v>
      </c>
      <c r="B1399" s="143">
        <v>35159</v>
      </c>
      <c r="C1399" s="85" t="s">
        <v>765</v>
      </c>
      <c r="D1399" s="85" t="s">
        <v>2762</v>
      </c>
      <c r="E1399" s="57">
        <f>55+25/60+21.8604/3600</f>
        <v>55.422739</v>
      </c>
      <c r="F1399" s="57">
        <f>13+49/60+32.2716/3600</f>
        <v>13.825631</v>
      </c>
      <c r="G1399" s="85">
        <v>2.06</v>
      </c>
      <c r="H1399" s="9" t="s">
        <v>150</v>
      </c>
      <c r="I1399" s="41" t="s">
        <v>688</v>
      </c>
      <c r="J1399" s="85" t="s">
        <v>169</v>
      </c>
      <c r="K1399" s="6" t="s">
        <v>6</v>
      </c>
      <c r="L1399" s="7" t="s">
        <v>2031</v>
      </c>
      <c r="M1399" s="7" t="s">
        <v>2653</v>
      </c>
      <c r="N1399" s="19" t="s">
        <v>1118</v>
      </c>
      <c r="O1399" s="42" t="s">
        <v>160</v>
      </c>
      <c r="P1399" s="42" t="s">
        <v>160</v>
      </c>
      <c r="Q1399" s="44" t="s">
        <v>1189</v>
      </c>
      <c r="S1399" s="19" t="s">
        <v>160</v>
      </c>
      <c r="T1399" s="19" t="s">
        <v>160</v>
      </c>
      <c r="U1399" s="19">
        <v>1</v>
      </c>
      <c r="V1399" s="19" t="s">
        <v>160</v>
      </c>
      <c r="W1399" s="19" t="s">
        <v>160</v>
      </c>
      <c r="X1399" s="19" t="s">
        <v>160</v>
      </c>
      <c r="Y1399" s="19" t="s">
        <v>160</v>
      </c>
      <c r="AR1399" s="19" t="s">
        <v>160</v>
      </c>
      <c r="AS1399" s="19" t="s">
        <v>160</v>
      </c>
      <c r="AT1399" s="85"/>
      <c r="AU1399" s="85"/>
      <c r="AV1399" s="85"/>
      <c r="AW1399" s="85"/>
      <c r="AX1399" s="85"/>
      <c r="AY1399" s="85"/>
      <c r="AZ1399" s="85"/>
      <c r="BA1399" s="85"/>
      <c r="BB1399" s="85"/>
      <c r="BC1399" s="85"/>
      <c r="BD1399" s="85"/>
      <c r="BE1399" s="85"/>
    </row>
    <row r="1400" spans="1:57" s="94" customFormat="1" x14ac:dyDescent="0.25">
      <c r="A1400" s="94" t="s">
        <v>2773</v>
      </c>
      <c r="B1400" s="136" t="s">
        <v>2824</v>
      </c>
      <c r="C1400" s="94" t="s">
        <v>765</v>
      </c>
      <c r="D1400" s="153" t="s">
        <v>765</v>
      </c>
      <c r="E1400" s="82">
        <f>55+25/60+21.8748/3600</f>
        <v>55.422742999999997</v>
      </c>
      <c r="F1400" s="82">
        <f>13+49/60+32.2284/3600</f>
        <v>13.825619</v>
      </c>
      <c r="G1400" s="188">
        <v>2.06</v>
      </c>
      <c r="H1400" s="94" t="s">
        <v>150</v>
      </c>
      <c r="I1400" s="113" t="s">
        <v>688</v>
      </c>
      <c r="J1400" s="93" t="s">
        <v>169</v>
      </c>
      <c r="K1400" s="114" t="s">
        <v>40</v>
      </c>
      <c r="L1400" s="105" t="s">
        <v>2055</v>
      </c>
      <c r="M1400" s="105" t="s">
        <v>2653</v>
      </c>
      <c r="N1400" s="108" t="s">
        <v>1118</v>
      </c>
      <c r="O1400" s="106" t="s">
        <v>160</v>
      </c>
      <c r="P1400" s="106" t="s">
        <v>160</v>
      </c>
      <c r="Q1400" s="107" t="s">
        <v>1189</v>
      </c>
      <c r="R1400" s="108"/>
      <c r="S1400" s="108" t="s">
        <v>160</v>
      </c>
      <c r="T1400" s="108" t="s">
        <v>160</v>
      </c>
      <c r="U1400" s="108">
        <v>1</v>
      </c>
      <c r="V1400" s="108" t="s">
        <v>160</v>
      </c>
      <c r="W1400" s="108" t="s">
        <v>160</v>
      </c>
      <c r="X1400" s="108" t="s">
        <v>160</v>
      </c>
      <c r="Y1400" s="108" t="s">
        <v>160</v>
      </c>
      <c r="Z1400" s="108"/>
      <c r="AA1400" s="108"/>
      <c r="AB1400" s="108"/>
      <c r="AC1400" s="108"/>
      <c r="AD1400" s="108"/>
      <c r="AE1400" s="108"/>
      <c r="AF1400" s="108"/>
      <c r="AG1400" s="108"/>
      <c r="AH1400" s="108"/>
      <c r="AI1400" s="108"/>
      <c r="AJ1400" s="108"/>
      <c r="AK1400" s="108"/>
      <c r="AL1400" s="108"/>
      <c r="AM1400" s="108"/>
      <c r="AN1400" s="108"/>
      <c r="AO1400" s="108"/>
      <c r="AP1400" s="108"/>
      <c r="AQ1400" s="108"/>
      <c r="AR1400" s="108" t="s">
        <v>160</v>
      </c>
      <c r="AS1400" s="108" t="s">
        <v>160</v>
      </c>
      <c r="AT1400" s="108"/>
      <c r="AU1400" s="108"/>
      <c r="AV1400" s="108"/>
      <c r="AW1400" s="108"/>
      <c r="AX1400" s="108"/>
      <c r="AY1400" s="108"/>
      <c r="AZ1400" s="108"/>
      <c r="BA1400" s="108"/>
      <c r="BB1400" s="108"/>
      <c r="BC1400" s="108"/>
      <c r="BD1400" s="108"/>
      <c r="BE1400" s="108"/>
    </row>
    <row r="1401" spans="1:57" x14ac:dyDescent="0.25">
      <c r="A1401" s="9" t="s">
        <v>8</v>
      </c>
      <c r="B1401" s="140" t="s">
        <v>2983</v>
      </c>
      <c r="C1401" s="9" t="s">
        <v>765</v>
      </c>
      <c r="D1401" s="9" t="s">
        <v>765</v>
      </c>
      <c r="E1401" s="193">
        <v>55.422699999999999</v>
      </c>
      <c r="F1401" s="193">
        <v>13.8255</v>
      </c>
      <c r="G1401" s="5"/>
      <c r="H1401" s="9" t="s">
        <v>150</v>
      </c>
      <c r="I1401" s="41" t="s">
        <v>688</v>
      </c>
      <c r="J1401" s="5" t="s">
        <v>169</v>
      </c>
      <c r="K1401" s="6" t="s">
        <v>40</v>
      </c>
      <c r="L1401" s="7" t="s">
        <v>2055</v>
      </c>
      <c r="M1401" s="7" t="s">
        <v>2653</v>
      </c>
      <c r="N1401" s="19" t="s">
        <v>1118</v>
      </c>
      <c r="O1401" s="42" t="s">
        <v>160</v>
      </c>
      <c r="P1401" s="42" t="s">
        <v>160</v>
      </c>
      <c r="Q1401" s="44" t="s">
        <v>1189</v>
      </c>
      <c r="S1401" s="19" t="s">
        <v>160</v>
      </c>
      <c r="T1401" s="19" t="s">
        <v>160</v>
      </c>
      <c r="U1401" s="19">
        <v>1</v>
      </c>
      <c r="V1401" s="19" t="s">
        <v>160</v>
      </c>
      <c r="W1401" s="19" t="s">
        <v>160</v>
      </c>
      <c r="X1401" s="19" t="s">
        <v>160</v>
      </c>
      <c r="Y1401" s="19" t="s">
        <v>160</v>
      </c>
      <c r="AR1401" s="19" t="s">
        <v>160</v>
      </c>
      <c r="AS1401" s="19" t="s">
        <v>160</v>
      </c>
      <c r="BB1401" s="19"/>
      <c r="BC1401" s="19"/>
      <c r="BD1401" s="19"/>
      <c r="BE1401" s="19"/>
    </row>
    <row r="1402" spans="1:57" x14ac:dyDescent="0.25">
      <c r="A1402" s="9" t="s">
        <v>706</v>
      </c>
      <c r="B1402" s="140">
        <v>94</v>
      </c>
      <c r="C1402" s="9" t="s">
        <v>765</v>
      </c>
      <c r="D1402" s="62" t="s">
        <v>141</v>
      </c>
      <c r="E1402" s="3">
        <f>55+25/60+22/3600</f>
        <v>55.422777777777775</v>
      </c>
      <c r="F1402" s="3">
        <f>13+49/60+32/3600</f>
        <v>13.825555555555555</v>
      </c>
      <c r="H1402" s="9" t="s">
        <v>150</v>
      </c>
      <c r="I1402" s="41" t="s">
        <v>688</v>
      </c>
      <c r="J1402" s="5" t="s">
        <v>169</v>
      </c>
      <c r="K1402" s="9" t="s">
        <v>40</v>
      </c>
      <c r="L1402" s="7" t="s">
        <v>2055</v>
      </c>
      <c r="M1402" s="7" t="s">
        <v>2653</v>
      </c>
      <c r="N1402" s="19" t="s">
        <v>1118</v>
      </c>
      <c r="O1402" s="42" t="s">
        <v>160</v>
      </c>
      <c r="P1402" s="42" t="s">
        <v>160</v>
      </c>
      <c r="Q1402" s="44" t="s">
        <v>1189</v>
      </c>
      <c r="S1402" s="19" t="s">
        <v>160</v>
      </c>
      <c r="T1402" s="19" t="s">
        <v>160</v>
      </c>
      <c r="U1402" s="19">
        <v>1</v>
      </c>
      <c r="V1402" s="19" t="s">
        <v>160</v>
      </c>
      <c r="W1402" s="19" t="s">
        <v>160</v>
      </c>
      <c r="X1402" s="19" t="s">
        <v>160</v>
      </c>
      <c r="Y1402" s="19" t="s">
        <v>160</v>
      </c>
      <c r="AR1402" s="19" t="s">
        <v>160</v>
      </c>
      <c r="AS1402" s="19" t="s">
        <v>160</v>
      </c>
      <c r="BB1402" s="19"/>
      <c r="BC1402" s="19"/>
      <c r="BD1402" s="19"/>
      <c r="BE1402" s="19"/>
    </row>
    <row r="1403" spans="1:57" x14ac:dyDescent="0.25">
      <c r="A1403" s="6" t="s">
        <v>8</v>
      </c>
      <c r="B1403" s="9">
        <v>53260</v>
      </c>
      <c r="C1403" s="9" t="s">
        <v>2266</v>
      </c>
      <c r="D1403" s="9" t="s">
        <v>968</v>
      </c>
      <c r="E1403" s="3">
        <v>55.441000000000003</v>
      </c>
      <c r="F1403" s="3">
        <v>13.8278</v>
      </c>
      <c r="G1403" s="9">
        <v>32</v>
      </c>
      <c r="H1403" s="9" t="s">
        <v>150</v>
      </c>
      <c r="I1403" s="6" t="s">
        <v>8</v>
      </c>
      <c r="J1403" s="21" t="s">
        <v>8</v>
      </c>
      <c r="K1403" s="3" t="s">
        <v>5</v>
      </c>
      <c r="L1403" s="5" t="s">
        <v>2680</v>
      </c>
      <c r="M1403" s="7" t="s">
        <v>717</v>
      </c>
      <c r="N1403" s="19" t="s">
        <v>2558</v>
      </c>
      <c r="O1403" s="22"/>
      <c r="P1403" s="19" t="s">
        <v>160</v>
      </c>
      <c r="AR1403" s="19" t="s">
        <v>160</v>
      </c>
      <c r="AT1403" s="19" t="s">
        <v>160</v>
      </c>
      <c r="AV1403" s="19" t="s">
        <v>160</v>
      </c>
      <c r="AX1403" s="19" t="s">
        <v>160</v>
      </c>
      <c r="AZ1403" s="19" t="s">
        <v>160</v>
      </c>
      <c r="BB1403" s="19"/>
      <c r="BC1403" s="19"/>
      <c r="BD1403" s="19"/>
      <c r="BE1403" s="19"/>
    </row>
    <row r="1404" spans="1:57" s="94" customFormat="1" x14ac:dyDescent="0.25">
      <c r="A1404" s="98" t="s">
        <v>2773</v>
      </c>
      <c r="B1404" s="135">
        <v>2528</v>
      </c>
      <c r="C1404" s="98" t="s">
        <v>1269</v>
      </c>
      <c r="D1404" s="98" t="s">
        <v>1233</v>
      </c>
      <c r="E1404" s="120">
        <f>55+25/60+37.56/3600</f>
        <v>55.427099999999996</v>
      </c>
      <c r="F1404" s="120">
        <f>13+49/60+32.9/3600</f>
        <v>13.825805555555556</v>
      </c>
      <c r="G1404" s="101"/>
      <c r="H1404" s="98" t="s">
        <v>150</v>
      </c>
      <c r="I1404" s="98" t="s">
        <v>8</v>
      </c>
      <c r="J1404" s="102" t="s">
        <v>8</v>
      </c>
      <c r="K1404" s="98" t="s">
        <v>6</v>
      </c>
      <c r="L1404" s="102" t="s">
        <v>2030</v>
      </c>
      <c r="M1404" s="102" t="s">
        <v>717</v>
      </c>
      <c r="N1404" s="104" t="s">
        <v>1311</v>
      </c>
      <c r="O1404" s="104"/>
      <c r="P1404" s="104"/>
      <c r="Q1404" s="107" t="s">
        <v>1189</v>
      </c>
      <c r="R1404" s="103"/>
      <c r="S1404" s="103"/>
      <c r="T1404" s="103"/>
      <c r="U1404" s="104">
        <v>4</v>
      </c>
      <c r="V1404" s="103" t="s">
        <v>160</v>
      </c>
      <c r="W1404" s="103"/>
      <c r="X1404" s="103"/>
      <c r="Y1404" s="103"/>
      <c r="Z1404" s="103"/>
      <c r="AA1404" s="103"/>
      <c r="AB1404" s="103"/>
      <c r="AC1404" s="103"/>
      <c r="AD1404" s="103"/>
      <c r="AE1404" s="103"/>
      <c r="AF1404" s="103"/>
      <c r="AG1404" s="103"/>
      <c r="AH1404" s="103"/>
      <c r="AI1404" s="103"/>
      <c r="AJ1404" s="103"/>
      <c r="AK1404" s="103"/>
      <c r="AL1404" s="103"/>
      <c r="AM1404" s="103"/>
      <c r="AN1404" s="103"/>
      <c r="AO1404" s="103"/>
      <c r="AP1404" s="103"/>
      <c r="AQ1404" s="103"/>
      <c r="AR1404" s="103"/>
      <c r="AS1404" s="103"/>
      <c r="AT1404" s="103"/>
      <c r="AU1404" s="103"/>
      <c r="AV1404" s="103"/>
      <c r="AW1404" s="103"/>
      <c r="AX1404" s="103"/>
      <c r="AY1404" s="103"/>
      <c r="AZ1404" s="103"/>
      <c r="BA1404" s="103"/>
    </row>
    <row r="1405" spans="1:57" x14ac:dyDescent="0.25">
      <c r="A1405" s="10" t="s">
        <v>8</v>
      </c>
      <c r="B1405" s="155">
        <v>2528</v>
      </c>
      <c r="C1405" s="10" t="s">
        <v>1269</v>
      </c>
      <c r="D1405" s="10" t="s">
        <v>1233</v>
      </c>
      <c r="E1405" s="193">
        <v>55.427100000000003</v>
      </c>
      <c r="F1405" s="193">
        <v>13.825799999999999</v>
      </c>
      <c r="G1405" s="30"/>
      <c r="H1405" s="10" t="s">
        <v>150</v>
      </c>
      <c r="I1405" s="10" t="s">
        <v>8</v>
      </c>
      <c r="J1405" s="24" t="s">
        <v>8</v>
      </c>
      <c r="K1405" s="10" t="s">
        <v>6</v>
      </c>
      <c r="L1405" s="24" t="s">
        <v>2030</v>
      </c>
      <c r="M1405" s="24" t="s">
        <v>717</v>
      </c>
      <c r="N1405" s="22" t="s">
        <v>1311</v>
      </c>
      <c r="O1405" s="22"/>
      <c r="P1405" s="22"/>
      <c r="Q1405" s="44" t="s">
        <v>1189</v>
      </c>
      <c r="R1405" s="20"/>
      <c r="S1405" s="20"/>
      <c r="T1405" s="20"/>
      <c r="U1405" s="22">
        <v>4</v>
      </c>
      <c r="V1405" s="20" t="s">
        <v>160</v>
      </c>
      <c r="W1405" s="20"/>
      <c r="X1405" s="20"/>
      <c r="Y1405" s="20"/>
      <c r="Z1405" s="20"/>
      <c r="AA1405" s="20"/>
      <c r="AB1405" s="20"/>
      <c r="AC1405" s="20"/>
      <c r="AD1405" s="20"/>
      <c r="AE1405" s="20"/>
      <c r="AF1405" s="20"/>
      <c r="AG1405" s="20"/>
      <c r="AH1405" s="20"/>
      <c r="AI1405" s="20"/>
      <c r="AJ1405" s="20"/>
      <c r="AK1405" s="20"/>
      <c r="AL1405" s="20"/>
      <c r="AM1405" s="20"/>
      <c r="AN1405" s="20"/>
      <c r="AO1405" s="20"/>
      <c r="AP1405" s="20"/>
      <c r="AQ1405" s="20"/>
      <c r="AR1405" s="20"/>
      <c r="AS1405" s="20"/>
      <c r="AT1405" s="20"/>
      <c r="AU1405" s="20"/>
      <c r="AV1405" s="20"/>
      <c r="AW1405" s="20"/>
      <c r="AX1405" s="20"/>
      <c r="AY1405" s="20"/>
      <c r="AZ1405" s="20"/>
      <c r="BA1405" s="20"/>
    </row>
  </sheetData>
  <autoFilter ref="A1:BE1405">
    <sortState ref="A2:BE1400">
      <sortCondition ref="C1:C1400"/>
    </sortState>
  </autoFilter>
  <sortState ref="A67:BA1009">
    <sortCondition ref="C2:C1011"/>
  </sortState>
  <hyperlinks>
    <hyperlink ref="Q536" r:id="rId1"/>
    <hyperlink ref="Q254" r:id="rId2"/>
    <hyperlink ref="Q907" r:id="rId3"/>
    <hyperlink ref="Q309:Q313" r:id="rId4" display="goag"/>
    <hyperlink ref="Q301" r:id="rId5"/>
    <hyperlink ref="Q312:Q317" r:id="rId6" display="goer"/>
    <hyperlink ref="Q312" r:id="rId7"/>
    <hyperlink ref="Q325" r:id="rId8"/>
    <hyperlink ref="Q328" r:id="rId9"/>
    <hyperlink ref="Q428" r:id="rId10"/>
    <hyperlink ref="Q531" r:id="rId11"/>
    <hyperlink ref="Q45" r:id="rId12"/>
    <hyperlink ref="Q69" r:id="rId13"/>
    <hyperlink ref="Q95" r:id="rId14"/>
    <hyperlink ref="Q121" r:id="rId15"/>
    <hyperlink ref="Q155" r:id="rId16"/>
    <hyperlink ref="Q164" r:id="rId17"/>
    <hyperlink ref="Q191" r:id="rId18"/>
    <hyperlink ref="Q1366" r:id="rId19"/>
    <hyperlink ref="Q887" r:id="rId20"/>
    <hyperlink ref="Q871" r:id="rId21"/>
    <hyperlink ref="Q853" r:id="rId22"/>
    <hyperlink ref="Q924" r:id="rId23"/>
    <hyperlink ref="Q955" r:id="rId24"/>
    <hyperlink ref="Q731" r:id="rId25"/>
    <hyperlink ref="Q630" r:id="rId26"/>
    <hyperlink ref="Q635" r:id="rId27" display="kunr"/>
    <hyperlink ref="Q657" r:id="rId28"/>
    <hyperlink ref="Q241" r:id="rId29"/>
    <hyperlink ref="Q1028" r:id="rId30"/>
    <hyperlink ref="Q978" r:id="rId31"/>
    <hyperlink ref="Q1021" r:id="rId32"/>
    <hyperlink ref="Q1249" r:id="rId33"/>
    <hyperlink ref="Q1152" r:id="rId34"/>
    <hyperlink ref="Q1169" r:id="rId35"/>
    <hyperlink ref="Q1103" r:id="rId36"/>
    <hyperlink ref="Q1083" r:id="rId37"/>
    <hyperlink ref="Q1277" r:id="rId38"/>
    <hyperlink ref="Q1317" r:id="rId39" display="var2"/>
    <hyperlink ref="Q1362" r:id="rId40" display="vike"/>
    <hyperlink ref="Q787" r:id="rId41" display="vike"/>
    <hyperlink ref="Q1376" r:id="rId42"/>
    <hyperlink ref="Q1395" r:id="rId43"/>
    <hyperlink ref="Q758" r:id="rId44"/>
    <hyperlink ref="Q715" r:id="rId45"/>
    <hyperlink ref="Q755" r:id="rId46"/>
    <hyperlink ref="Q760" r:id="rId47"/>
    <hyperlink ref="Q772" r:id="rId48"/>
    <hyperlink ref="Q572" r:id="rId49"/>
    <hyperlink ref="Q592" r:id="rId50"/>
    <hyperlink ref="Q542" r:id="rId51"/>
    <hyperlink ref="Q812" r:id="rId52"/>
    <hyperlink ref="Q1345" r:id="rId53"/>
    <hyperlink ref="Q478" r:id="rId54"/>
    <hyperlink ref="Q523" r:id="rId55"/>
    <hyperlink ref="R978" r:id="rId56" display="2111"/>
    <hyperlink ref="R339" r:id="rId57"/>
    <hyperlink ref="R45" r:id="rId58"/>
    <hyperlink ref="R43" r:id="rId59"/>
    <hyperlink ref="R47" r:id="rId60"/>
    <hyperlink ref="R976" r:id="rId61" display="2111"/>
    <hyperlink ref="R980" r:id="rId62" display="2111"/>
    <hyperlink ref="R69" r:id="rId63"/>
    <hyperlink ref="R67" r:id="rId64"/>
    <hyperlink ref="R71" r:id="rId65"/>
    <hyperlink ref="R81" r:id="rId66"/>
    <hyperlink ref="R63" r:id="rId67"/>
    <hyperlink ref="R155" r:id="rId68"/>
    <hyperlink ref="R241" r:id="rId69"/>
    <hyperlink ref="R238" r:id="rId70"/>
    <hyperlink ref="R243" r:id="rId71"/>
    <hyperlink ref="R254" r:id="rId72"/>
    <hyperlink ref="R256" r:id="rId73"/>
    <hyperlink ref="R252" r:id="rId74"/>
    <hyperlink ref="R310" r:id="rId75"/>
    <hyperlink ref="R328" r:id="rId76"/>
    <hyperlink ref="R320" r:id="rId77"/>
    <hyperlink ref="R536" r:id="rId78"/>
    <hyperlink ref="R534" r:id="rId79"/>
    <hyperlink ref="R538" r:id="rId80"/>
    <hyperlink ref="R592" r:id="rId81"/>
    <hyperlink ref="R594" r:id="rId82"/>
    <hyperlink ref="R590" r:id="rId83"/>
    <hyperlink ref="R630" r:id="rId84"/>
    <hyperlink ref="R632" r:id="rId85"/>
    <hyperlink ref="R628" r:id="rId86"/>
    <hyperlink ref="R635" r:id="rId87"/>
    <hyperlink ref="R637" r:id="rId88"/>
    <hyperlink ref="R633" r:id="rId89"/>
    <hyperlink ref="R657" r:id="rId90"/>
    <hyperlink ref="R674" r:id="rId91"/>
    <hyperlink ref="R676" r:id="rId92"/>
    <hyperlink ref="R672" r:id="rId93"/>
    <hyperlink ref="R698" r:id="rId94"/>
    <hyperlink ref="R1376" r:id="rId95"/>
    <hyperlink ref="R1374" r:id="rId96"/>
    <hyperlink ref="R1378" r:id="rId97"/>
    <hyperlink ref="R1395" r:id="rId98"/>
    <hyperlink ref="R1362" r:id="rId99"/>
    <hyperlink ref="R1364" r:id="rId100"/>
    <hyperlink ref="R1360" r:id="rId101"/>
    <hyperlink ref="R1317" r:id="rId102"/>
    <hyperlink ref="R1277" r:id="rId103"/>
    <hyperlink ref="R1279" r:id="rId104"/>
    <hyperlink ref="R1275" r:id="rId105"/>
    <hyperlink ref="R775" r:id="rId106"/>
    <hyperlink ref="R907" r:id="rId107"/>
    <hyperlink ref="R909" r:id="rId108"/>
    <hyperlink ref="R904" r:id="rId109"/>
    <hyperlink ref="R1028" r:id="rId110"/>
    <hyperlink ref="R1030" r:id="rId111"/>
    <hyperlink ref="R1026" r:id="rId112"/>
    <hyperlink ref="R1037" r:id="rId113"/>
    <hyperlink ref="R955" r:id="rId114"/>
    <hyperlink ref="R957" r:id="rId115"/>
    <hyperlink ref="R953" r:id="rId116"/>
    <hyperlink ref="R1056" r:id="rId117"/>
    <hyperlink ref="R1058" r:id="rId118"/>
    <hyperlink ref="R1054" r:id="rId119"/>
    <hyperlink ref="Q1037" r:id="rId120"/>
    <hyperlink ref="Q1040" r:id="rId121"/>
    <hyperlink ref="Q1056" r:id="rId122"/>
    <hyperlink ref="Q1058" r:id="rId123"/>
    <hyperlink ref="Q1054" r:id="rId124"/>
    <hyperlink ref="R1083" r:id="rId125"/>
    <hyperlink ref="R1085" r:id="rId126"/>
    <hyperlink ref="R1081" r:id="rId127"/>
    <hyperlink ref="R1103" r:id="rId128"/>
    <hyperlink ref="R1105" r:id="rId129"/>
    <hyperlink ref="R1101" r:id="rId130"/>
    <hyperlink ref="R1195" r:id="rId131"/>
    <hyperlink ref="Q1190" r:id="rId132"/>
    <hyperlink ref="R804" r:id="rId133"/>
    <hyperlink ref="R810" r:id="rId134"/>
    <hyperlink ref="R808" r:id="rId135"/>
    <hyperlink ref="Q1044" r:id="rId136"/>
    <hyperlink ref="Q1042" r:id="rId137"/>
    <hyperlink ref="Q659" r:id="rId138"/>
    <hyperlink ref="Q660" r:id="rId139"/>
    <hyperlink ref="Q662" r:id="rId140"/>
    <hyperlink ref="Q670" r:id="rId141"/>
    <hyperlink ref="R871" r:id="rId142"/>
    <hyperlink ref="R869" r:id="rId143"/>
    <hyperlink ref="R867" r:id="rId144"/>
    <hyperlink ref="R674" r:id="rId145" display="stens"/>
    <hyperlink ref="R812" r:id="rId146"/>
    <hyperlink ref="R790" r:id="rId147"/>
    <hyperlink ref="R885" r:id="rId148"/>
    <hyperlink ref="R887" r:id="rId149"/>
    <hyperlink ref="R889" r:id="rId150"/>
    <hyperlink ref="R1167" r:id="rId151" display="https://www.psmsl.org/data/obtaining/stations/78.php"/>
    <hyperlink ref="R1169" r:id="rId152" display="https://www.psmsl.org/data/obtaining/stations/78.php"/>
    <hyperlink ref="R1171" r:id="rId153" display="https://www.psmsl.org/data/obtaining/stations/78.php"/>
    <hyperlink ref="Q43" r:id="rId154"/>
    <hyperlink ref="Q47" r:id="rId155"/>
    <hyperlink ref="Q67" r:id="rId156"/>
    <hyperlink ref="Q71" r:id="rId157"/>
    <hyperlink ref="Q97" r:id="rId158"/>
    <hyperlink ref="Q119" r:id="rId159"/>
    <hyperlink ref="Q123" r:id="rId160"/>
    <hyperlink ref="Q162" r:id="rId161"/>
    <hyperlink ref="Q166" r:id="rId162"/>
    <hyperlink ref="Q189" r:id="rId163"/>
    <hyperlink ref="Q193" r:id="rId164"/>
    <hyperlink ref="Q238" r:id="rId165"/>
    <hyperlink ref="Q243" r:id="rId166"/>
    <hyperlink ref="Q256" r:id="rId167"/>
    <hyperlink ref="Q252" r:id="rId168"/>
    <hyperlink ref="Q297" r:id="rId169"/>
    <hyperlink ref="Q299" r:id="rId170"/>
    <hyperlink ref="Q314" r:id="rId171"/>
    <hyperlink ref="Q316" r:id="rId172"/>
    <hyperlink ref="Q322" r:id="rId173"/>
    <hyperlink ref="Q370" r:id="rId174"/>
    <hyperlink ref="Q373" r:id="rId175"/>
    <hyperlink ref="Q375" r:id="rId176"/>
    <hyperlink ref="Q377" r:id="rId177"/>
    <hyperlink ref="Q431" r:id="rId178"/>
    <hyperlink ref="Q433" r:id="rId179"/>
    <hyperlink ref="Q476" r:id="rId180"/>
    <hyperlink ref="Q480" r:id="rId181"/>
    <hyperlink ref="Q521" r:id="rId182"/>
    <hyperlink ref="Q518" r:id="rId183"/>
    <hyperlink ref="Q528" r:id="rId184"/>
    <hyperlink ref="Q533" r:id="rId185"/>
    <hyperlink ref="Q534" r:id="rId186"/>
    <hyperlink ref="Q538" r:id="rId187"/>
    <hyperlink ref="Q545" r:id="rId188"/>
    <hyperlink ref="Q548" r:id="rId189"/>
    <hyperlink ref="Q547" r:id="rId190"/>
    <hyperlink ref="Q292" r:id="rId191"/>
    <hyperlink ref="Q294" r:id="rId192"/>
    <hyperlink ref="Q296" r:id="rId193"/>
    <hyperlink ref="Q869" r:id="rId194"/>
    <hyperlink ref="Q867" r:id="rId195"/>
    <hyperlink ref="Q851" r:id="rId196"/>
    <hyperlink ref="Q855" r:id="rId197"/>
    <hyperlink ref="Q774" r:id="rId198"/>
    <hyperlink ref="Q770" r:id="rId199"/>
    <hyperlink ref="Q726" r:id="rId200"/>
    <hyperlink ref="Q729" r:id="rId201"/>
    <hyperlink ref="Q716" r:id="rId202"/>
    <hyperlink ref="Q713" r:id="rId203"/>
    <hyperlink ref="Q672" r:id="rId204"/>
    <hyperlink ref="Q674" r:id="rId205"/>
    <hyperlink ref="Q676" r:id="rId206"/>
    <hyperlink ref="Q628" r:id="rId207"/>
    <hyperlink ref="Q632" r:id="rId208"/>
    <hyperlink ref="Q637" r:id="rId209" display="kunr"/>
    <hyperlink ref="Q633" r:id="rId210" display="kunr"/>
    <hyperlink ref="Q590" r:id="rId211"/>
    <hyperlink ref="Q594" r:id="rId212"/>
    <hyperlink ref="Q575" r:id="rId213"/>
    <hyperlink ref="Q577" r:id="rId214"/>
    <hyperlink ref="Q1374" r:id="rId215"/>
    <hyperlink ref="Q1378" r:id="rId216"/>
    <hyperlink ref="Q1369" r:id="rId217"/>
    <hyperlink ref="Q1371" r:id="rId218"/>
    <hyperlink ref="Q1360" r:id="rId219" display="vike"/>
    <hyperlink ref="Q1364" r:id="rId220" display="vike"/>
    <hyperlink ref="Q1343" r:id="rId221"/>
    <hyperlink ref="Q1347" r:id="rId222"/>
    <hyperlink ref="Q1348" r:id="rId223"/>
    <hyperlink ref="Q1319" r:id="rId224" display="var2"/>
    <hyperlink ref="Q1321" r:id="rId225" display="var2"/>
    <hyperlink ref="Q1323" r:id="rId226" display="var2"/>
    <hyperlink ref="Q1275" r:id="rId227"/>
    <hyperlink ref="Q1279" r:id="rId228"/>
    <hyperlink ref="Q1247" r:id="rId229"/>
    <hyperlink ref="Q1245" r:id="rId230"/>
    <hyperlink ref="Q1193" r:id="rId231"/>
    <hyperlink ref="Q1194" r:id="rId232"/>
    <hyperlink ref="Q1167" r:id="rId233"/>
    <hyperlink ref="Q1171" r:id="rId234"/>
    <hyperlink ref="Q1154" r:id="rId235"/>
    <hyperlink ref="Q1150" r:id="rId236"/>
    <hyperlink ref="Q1101" r:id="rId237"/>
    <hyperlink ref="Q1105" r:id="rId238"/>
    <hyperlink ref="Q1107" r:id="rId239"/>
    <hyperlink ref="Q1081" r:id="rId240"/>
    <hyperlink ref="Q1085" r:id="rId241"/>
    <hyperlink ref="Q976" r:id="rId242"/>
    <hyperlink ref="Q980" r:id="rId243"/>
    <hyperlink ref="Q953" r:id="rId244"/>
    <hyperlink ref="Q957" r:id="rId245"/>
    <hyperlink ref="Q920" r:id="rId246"/>
    <hyperlink ref="Q926" r:id="rId247"/>
    <hyperlink ref="Q922" r:id="rId248"/>
    <hyperlink ref="Q904" r:id="rId249"/>
    <hyperlink ref="Q909" r:id="rId250"/>
    <hyperlink ref="Q885" r:id="rId251"/>
    <hyperlink ref="Q889" r:id="rId252"/>
    <hyperlink ref="Q1397" r:id="rId253"/>
    <hyperlink ref="Q1400" r:id="rId254"/>
    <hyperlink ref="Q1402" r:id="rId255"/>
    <hyperlink ref="Q1404" r:id="rId256"/>
    <hyperlink ref="Q1026" r:id="rId257"/>
    <hyperlink ref="Q1030" r:id="rId258"/>
    <hyperlink ref="Q1023" r:id="rId259"/>
    <hyperlink ref="Q1025" r:id="rId260"/>
    <hyperlink ref="Q327" r:id="rId261"/>
    <hyperlink ref="R777" r:id="rId262"/>
    <hyperlink ref="D8" r:id="rId263"/>
    <hyperlink ref="R977" r:id="rId264" display="2111"/>
    <hyperlink ref="Q977" r:id="rId265"/>
    <hyperlink ref="R68" r:id="rId266"/>
    <hyperlink ref="Q68" r:id="rId267"/>
    <hyperlink ref="Q96" r:id="rId268"/>
    <hyperlink ref="Q44" r:id="rId269"/>
    <hyperlink ref="R44" r:id="rId270"/>
    <hyperlink ref="Q120" r:id="rId271"/>
    <hyperlink ref="Q163" r:id="rId272"/>
    <hyperlink ref="Q190" r:id="rId273"/>
    <hyperlink ref="Q240" r:id="rId274"/>
    <hyperlink ref="R240" r:id="rId275"/>
    <hyperlink ref="Q253" r:id="rId276"/>
    <hyperlink ref="R253" r:id="rId277"/>
    <hyperlink ref="Q293" r:id="rId278"/>
    <hyperlink ref="Q298" r:id="rId279"/>
    <hyperlink ref="Q313" r:id="rId280"/>
    <hyperlink ref="R319" r:id="rId281"/>
    <hyperlink ref="Q1246" r:id="rId282"/>
    <hyperlink ref="Q324" r:id="rId283"/>
    <hyperlink ref="Q372" r:id="rId284"/>
    <hyperlink ref="Q430" r:id="rId285"/>
    <hyperlink ref="Q477" r:id="rId286"/>
    <hyperlink ref="Q520" r:id="rId287"/>
    <hyperlink ref="R535" r:id="rId288"/>
    <hyperlink ref="Q535" r:id="rId289"/>
    <hyperlink ref="Q544" r:id="rId290"/>
    <hyperlink ref="Q1022" r:id="rId291"/>
    <hyperlink ref="Q1027" r:id="rId292"/>
    <hyperlink ref="R1027" r:id="rId293"/>
    <hyperlink ref="Q1041" r:id="rId294"/>
    <hyperlink ref="R1055" r:id="rId295"/>
    <hyperlink ref="Q1055" r:id="rId296"/>
    <hyperlink ref="Q1082" r:id="rId297"/>
    <hyperlink ref="R1082" r:id="rId298"/>
    <hyperlink ref="Q1102" r:id="rId299"/>
    <hyperlink ref="R1102" r:id="rId300"/>
    <hyperlink ref="Q1106" r:id="rId301"/>
    <hyperlink ref="Q1151" r:id="rId302"/>
    <hyperlink ref="Q1168" r:id="rId303"/>
    <hyperlink ref="R1168" r:id="rId304" display="https://www.psmsl.org/data/obtaining/stations/78.php"/>
    <hyperlink ref="Q1192" r:id="rId305"/>
    <hyperlink ref="Q1276" r:id="rId306"/>
    <hyperlink ref="R1276" r:id="rId307"/>
    <hyperlink ref="Q1320" r:id="rId308" display="var2"/>
    <hyperlink ref="Q1344" r:id="rId309"/>
    <hyperlink ref="Q1361" r:id="rId310" display="vike"/>
    <hyperlink ref="R1361" r:id="rId311"/>
    <hyperlink ref="Q1368" r:id="rId312"/>
    <hyperlink ref="Q1375" r:id="rId313"/>
    <hyperlink ref="R1375" r:id="rId314"/>
    <hyperlink ref="Q530" r:id="rId315"/>
    <hyperlink ref="Q574" r:id="rId316"/>
    <hyperlink ref="Q591" r:id="rId317"/>
    <hyperlink ref="R591" r:id="rId318"/>
    <hyperlink ref="Q629" r:id="rId319"/>
    <hyperlink ref="R629" r:id="rId320"/>
    <hyperlink ref="Q634" r:id="rId321" display="kunr"/>
    <hyperlink ref="R634" r:id="rId322"/>
    <hyperlink ref="R673" r:id="rId323" display="stens"/>
    <hyperlink ref="Q673" r:id="rId324"/>
    <hyperlink ref="Q714" r:id="rId325"/>
    <hyperlink ref="Q728" r:id="rId326"/>
    <hyperlink ref="Q757" r:id="rId327"/>
    <hyperlink ref="Q771" r:id="rId328"/>
    <hyperlink ref="Q852" r:id="rId329"/>
    <hyperlink ref="R868" r:id="rId330"/>
    <hyperlink ref="Q868" r:id="rId331"/>
    <hyperlink ref="Q886" r:id="rId332"/>
    <hyperlink ref="R886" r:id="rId333"/>
    <hyperlink ref="Q906" r:id="rId334"/>
    <hyperlink ref="R906" r:id="rId335"/>
    <hyperlink ref="Q923" r:id="rId336"/>
    <hyperlink ref="Q954" r:id="rId337"/>
    <hyperlink ref="R954" r:id="rId338"/>
    <hyperlink ref="Q1399" r:id="rId339"/>
    <hyperlink ref="C376" r:id="rId340"/>
    <hyperlink ref="Q46" r:id="rId341"/>
    <hyperlink ref="R46" r:id="rId342"/>
    <hyperlink ref="R64" r:id="rId343"/>
    <hyperlink ref="Q70" r:id="rId344"/>
    <hyperlink ref="R70" r:id="rId345"/>
    <hyperlink ref="R82" r:id="rId346"/>
    <hyperlink ref="Q98" r:id="rId347"/>
    <hyperlink ref="Q122" r:id="rId348"/>
    <hyperlink ref="Q156" r:id="rId349"/>
    <hyperlink ref="R156" r:id="rId350"/>
    <hyperlink ref="Q165" r:id="rId351"/>
    <hyperlink ref="Q192" r:id="rId352"/>
    <hyperlink ref="Q242" r:id="rId353"/>
    <hyperlink ref="R242" r:id="rId354"/>
    <hyperlink ref="Q255" r:id="rId355"/>
    <hyperlink ref="R255" r:id="rId356"/>
    <hyperlink ref="Q295" r:id="rId357"/>
    <hyperlink ref="Q300" r:id="rId358"/>
    <hyperlink ref="Q311" r:id="rId359" display="goag"/>
    <hyperlink ref="R311" r:id="rId360"/>
    <hyperlink ref="Q315" r:id="rId361"/>
    <hyperlink ref="R321" r:id="rId362"/>
    <hyperlink ref="R340" r:id="rId363"/>
    <hyperlink ref="Q326" r:id="rId364"/>
    <hyperlink ref="Q329" r:id="rId365"/>
    <hyperlink ref="R329" r:id="rId366"/>
    <hyperlink ref="Q374" r:id="rId367"/>
    <hyperlink ref="Q378" r:id="rId368"/>
    <hyperlink ref="Q432" r:id="rId369"/>
    <hyperlink ref="Q479" r:id="rId370"/>
    <hyperlink ref="Q522" r:id="rId371"/>
    <hyperlink ref="Q532" r:id="rId372"/>
    <hyperlink ref="Q537" r:id="rId373"/>
    <hyperlink ref="R537" r:id="rId374"/>
    <hyperlink ref="Q546" r:id="rId375"/>
    <hyperlink ref="Q549" r:id="rId376"/>
    <hyperlink ref="Q576" r:id="rId377"/>
    <hyperlink ref="Q593" r:id="rId378"/>
    <hyperlink ref="R593" r:id="rId379"/>
    <hyperlink ref="Q631" r:id="rId380"/>
    <hyperlink ref="R631" r:id="rId381"/>
    <hyperlink ref="Q636" r:id="rId382" display="kunr"/>
    <hyperlink ref="R636" r:id="rId383"/>
    <hyperlink ref="Q658" r:id="rId384"/>
    <hyperlink ref="R658" r:id="rId385"/>
    <hyperlink ref="Q661" r:id="rId386"/>
    <hyperlink ref="Q671" r:id="rId387"/>
    <hyperlink ref="R675" r:id="rId388" display="stens"/>
    <hyperlink ref="Q675" r:id="rId389"/>
    <hyperlink ref="R699" r:id="rId390"/>
    <hyperlink ref="Q730" r:id="rId391"/>
    <hyperlink ref="Q759" r:id="rId392"/>
    <hyperlink ref="Q773" r:id="rId393"/>
    <hyperlink ref="R776" r:id="rId394"/>
    <hyperlink ref="Q788" r:id="rId395" display="vike"/>
    <hyperlink ref="R791" r:id="rId396"/>
    <hyperlink ref="Q813" r:id="rId397"/>
    <hyperlink ref="R813" r:id="rId398"/>
    <hyperlink ref="R805" r:id="rId399"/>
    <hyperlink ref="R809" r:id="rId400"/>
    <hyperlink ref="R811" r:id="rId401"/>
    <hyperlink ref="Q854" r:id="rId402"/>
    <hyperlink ref="R870" r:id="rId403"/>
    <hyperlink ref="Q870" r:id="rId404"/>
    <hyperlink ref="Q1024" r:id="rId405"/>
    <hyperlink ref="Q956" r:id="rId406"/>
    <hyperlink ref="R956" r:id="rId407"/>
    <hyperlink ref="Q925" r:id="rId408"/>
    <hyperlink ref="Q908" r:id="rId409"/>
    <hyperlink ref="R908" r:id="rId410"/>
    <hyperlink ref="Q888" r:id="rId411"/>
    <hyperlink ref="R888" r:id="rId412"/>
    <hyperlink ref="Q979" r:id="rId413"/>
    <hyperlink ref="R979" r:id="rId414" display="2111"/>
    <hyperlink ref="Q1029" r:id="rId415"/>
    <hyperlink ref="R1029" r:id="rId416"/>
    <hyperlink ref="R1038" r:id="rId417"/>
    <hyperlink ref="Q1038" r:id="rId418"/>
    <hyperlink ref="Q1043" r:id="rId419"/>
    <hyperlink ref="R1057" r:id="rId420"/>
    <hyperlink ref="Q1057" r:id="rId421"/>
    <hyperlink ref="D6" r:id="rId422" display="Adelsö (SMHI)"/>
    <hyperlink ref="Q1349" r:id="rId423"/>
    <hyperlink ref="Q1363" r:id="rId424" display="vike"/>
    <hyperlink ref="R1363" r:id="rId425"/>
    <hyperlink ref="Q1377" r:id="rId426"/>
    <hyperlink ref="R1377" r:id="rId427"/>
    <hyperlink ref="Q1370" r:id="rId428"/>
    <hyperlink ref="Q1346" r:id="rId429"/>
    <hyperlink ref="Q1396" r:id="rId430"/>
    <hyperlink ref="R1396" r:id="rId431"/>
    <hyperlink ref="Q1401" r:id="rId432"/>
    <hyperlink ref="Q1405" r:id="rId433"/>
    <hyperlink ref="Q1322" r:id="rId434" display="var2"/>
    <hyperlink ref="Q1318" r:id="rId435" display="var2"/>
    <hyperlink ref="R1318" r:id="rId436"/>
    <hyperlink ref="Q1278" r:id="rId437"/>
    <hyperlink ref="R1278" r:id="rId438"/>
    <hyperlink ref="Q1248" r:id="rId439"/>
    <hyperlink ref="R1196" r:id="rId440"/>
    <hyperlink ref="Q1170" r:id="rId441"/>
    <hyperlink ref="R1170" r:id="rId442" display="https://www.psmsl.org/data/obtaining/stations/78.php"/>
    <hyperlink ref="Q1153" r:id="rId443"/>
    <hyperlink ref="Q1104" r:id="rId444"/>
    <hyperlink ref="R1104" r:id="rId445"/>
    <hyperlink ref="Q1108" r:id="rId446"/>
    <hyperlink ref="Q1084" r:id="rId447"/>
    <hyperlink ref="R1084" r:id="rId448"/>
    <hyperlink ref="Q99" r:id="rId449"/>
    <hyperlink ref="Q318" r:id="rId450" display="goer"/>
    <hyperlink ref="D1193" r:id="rId451"/>
    <hyperlink ref="D1256" r:id="rId452"/>
    <hyperlink ref="D715" r:id="rId453"/>
    <hyperlink ref="D869" r:id="rId454" display="Ölands Norra Udde (SMHI) "/>
    <hyperlink ref="D955" r:id="rId455" display="Ratan (SMHI) "/>
    <hyperlink ref="D73" r:id="rId456"/>
    <hyperlink ref="D75" r:id="rId457"/>
    <hyperlink ref="D49" r:id="rId458"/>
    <hyperlink ref="D51" r:id="rId459"/>
    <hyperlink ref="D33" r:id="rId460"/>
    <hyperlink ref="D22" r:id="rId461" display="Ålandets grund"/>
    <hyperlink ref="D108" r:id="rId462"/>
    <hyperlink ref="D126" r:id="rId463" display="Brofjordens Angöring "/>
    <hyperlink ref="D179" r:id="rId464"/>
    <hyperlink ref="D212" r:id="rId465" display="Finngrundet (SMHI)"/>
    <hyperlink ref="D907" r:id="rId466" display="Oskarshamn (SMHI) "/>
    <hyperlink ref="D887" r:id="rId467" display="Onsala (Chalmers) "/>
    <hyperlink ref="D928" r:id="rId468"/>
    <hyperlink ref="D946" r:id="rId469" display="Pite-Rönnskär (SMHI)"/>
    <hyperlink ref="D943" r:id="rId470"/>
    <hyperlink ref="D937" r:id="rId471" display="Pålgrunden (SMHI) "/>
    <hyperlink ref="D989" r:id="rId472" display="Rödkallen (SMHI)"/>
    <hyperlink ref="D982" r:id="rId473"/>
    <hyperlink ref="D978" r:id="rId474"/>
    <hyperlink ref="D973" r:id="rId475"/>
    <hyperlink ref="D969" r:id="rId476"/>
    <hyperlink ref="D964" r:id="rId477" display="Renöragrund "/>
    <hyperlink ref="D960" r:id="rId478"/>
    <hyperlink ref="D1060" r:id="rId479" display="Skarpö (SMHI)"/>
    <hyperlink ref="D1028" r:id="rId480" display="Simrishamn (SMHI) "/>
    <hyperlink ref="D1033" r:id="rId481"/>
    <hyperlink ref="D1047" r:id="rId482" display="Skagsudde "/>
    <hyperlink ref="D1042" r:id="rId483" display="Skagsudde "/>
    <hyperlink ref="D1056" r:id="rId484" display="Skanör (SMHI) "/>
    <hyperlink ref="D1068" r:id="rId485"/>
    <hyperlink ref="D1077" r:id="rId486"/>
    <hyperlink ref="D1097" r:id="rId487"/>
    <hyperlink ref="D1090" r:id="rId488" display="Söderarm (SMHI) "/>
    <hyperlink ref="D1083" r:id="rId489" display="Smögen (SMHI) "/>
    <hyperlink ref="D1103" r:id="rId490" display="Spikarna (SMHI) "/>
    <hyperlink ref="D1115" r:id="rId491"/>
    <hyperlink ref="D1199" r:id="rId492"/>
    <hyperlink ref="D1179" r:id="rId493" display="Storön (SMHI)"/>
    <hyperlink ref="D1152" r:id="rId494" display="Stenungsund (SMHI) "/>
    <hyperlink ref="D1169" r:id="rId495" display="Stockholm (SMHI) "/>
    <hyperlink ref="D1183" r:id="rId496"/>
    <hyperlink ref="D1187" r:id="rId497"/>
    <hyperlink ref="D1229" r:id="rId498" display="Svenska Högarna (SMHI)"/>
    <hyperlink ref="D1241" r:id="rId499" display="Tån "/>
    <hyperlink ref="D1206" r:id="rId500"/>
    <hyperlink ref="D1247" r:id="rId501"/>
    <hyperlink ref="D1265" r:id="rId502"/>
    <hyperlink ref="D1277" r:id="rId503" display="Uddevalla (SMHI) "/>
    <hyperlink ref="D1307" r:id="rId504" display="Väderöarna vågboj (SMHI) "/>
    <hyperlink ref="D1340" r:id="rId505"/>
    <hyperlink ref="D1332" r:id="rId506"/>
    <hyperlink ref="D1321" r:id="rId507" display="Varberg "/>
    <hyperlink ref="D1400" r:id="rId508" display="Ystad "/>
    <hyperlink ref="D1401" r:id="rId509" location="/station/94" display="Ystad "/>
    <hyperlink ref="D1345" r:id="rId510"/>
    <hyperlink ref="D1362" r:id="rId511" display="Viken (SMHI) "/>
    <hyperlink ref="D1357" r:id="rId512" display="Verkö (KBP) "/>
    <hyperlink ref="D782" r:id="rId513" display="Måseskär (SMHI)"/>
    <hyperlink ref="D667" r:id="rId514" display="Landsort (SMHI)"/>
    <hyperlink ref="D674" r:id="rId515" display="Landsort Norra (SMHI) "/>
    <hyperlink ref="D721" r:id="rId516"/>
    <hyperlink ref="D729" r:id="rId517"/>
    <hyperlink ref="D733" r:id="rId518" display="Lungö (SMHI)"/>
    <hyperlink ref="D635" r:id="rId519" display="Kungsvik (SMHI) "/>
    <hyperlink ref="D630" r:id="rId520" display="Kungsholmsfort (SMHI) "/>
    <hyperlink ref="D622" r:id="rId521" display="Kuggören (SMHI)"/>
    <hyperlink ref="D605" r:id="rId522"/>
    <hyperlink ref="D596" r:id="rId523" display="Knolls Grund (SMHI) "/>
    <hyperlink ref="D592" r:id="rId524" display="Klagshamn (SMHI) "/>
    <hyperlink ref="D536" r:id="rId525" display="Kalix-Storön (SMHI)"/>
    <hyperlink ref="D491" r:id="rId526" display="Huvudskär havsboj (SMHI)"/>
    <hyperlink ref="D473" r:id="rId527" display="Holmön (SMHI)"/>
    <hyperlink ref="D463" r:id="rId528" display="Hoburg (SMHI) "/>
    <hyperlink ref="D423" r:id="rId529"/>
    <hyperlink ref="D417" r:id="rId530" display="Harstena (SMHI)"/>
    <hyperlink ref="D393" r:id="rId531" display="Hanö (SMHI)"/>
    <hyperlink ref="D361" r:id="rId532" display="Hallands Väderö (SMHI)"/>
    <hyperlink ref="D332" r:id="rId533" display="Gotska Sandön (SMHI)"/>
    <hyperlink ref="D314" r:id="rId534" display="Krossholmen (SMHI)"/>
    <hyperlink ref="D254" r:id="rId535" display="Furuögrund (SMHI)"/>
    <hyperlink ref="D241" r:id="rId536"/>
    <hyperlink ref="D198" r:id="rId537" display="Falsterbo (SMHI)"/>
    <hyperlink ref="D173" r:id="rId538"/>
    <hyperlink ref="D104" r:id="rId539" display="Brämön (SMHI)"/>
    <hyperlink ref="D86" r:id="rId540" display="Bjuröklubb (SMHI)"/>
    <hyperlink ref="D69" r:id="rId541"/>
    <hyperlink ref="D45" r:id="rId542"/>
    <hyperlink ref="D910" r:id="rId543" display="Oskarshamn Vind"/>
    <hyperlink ref="D924" r:id="rId544"/>
    <hyperlink ref="D1000" r:id="rId545"/>
    <hyperlink ref="D996" r:id="rId546" display="Svea"/>
    <hyperlink ref="D55" r:id="rId547"/>
    <hyperlink ref="D245" r:id="rId548"/>
    <hyperlink ref="D26" r:id="rId549"/>
    <hyperlink ref="D862" r:id="rId550"/>
    <hyperlink ref="D706" r:id="rId551"/>
    <hyperlink ref="D702" r:id="rId552"/>
    <hyperlink ref="D678" r:id="rId553"/>
    <hyperlink ref="D686" r:id="rId554"/>
    <hyperlink ref="D662" r:id="rId555" display="Landsort2"/>
    <hyperlink ref="D478" r:id="rId556"/>
    <hyperlink ref="D601" r:id="rId557"/>
    <hyperlink ref="D575" r:id="rId558"/>
    <hyperlink ref="D563" r:id="rId559" display="Kapellskär (SH)"/>
    <hyperlink ref="D521" r:id="rId560"/>
    <hyperlink ref="D515" r:id="rId561"/>
    <hyperlink ref="D454" r:id="rId562"/>
    <hyperlink ref="D90" r:id="rId563"/>
    <hyperlink ref="D853" r:id="rId564" display="Nynäs fiskehamn "/>
    <hyperlink ref="D1023" r:id="rId565" display="Simpevarp (SKB) "/>
    <hyperlink ref="D858" r:id="rId566" display="Nynäs oljehamn "/>
    <hyperlink ref="D844" r:id="rId567" display="Norvik (SH) "/>
    <hyperlink ref="D828" r:id="rId568"/>
    <hyperlink ref="D777" r:id="rId569"/>
    <hyperlink ref="D793" r:id="rId570"/>
    <hyperlink ref="D660" r:id="rId571"/>
    <hyperlink ref="D695" r:id="rId572"/>
    <hyperlink ref="D691" r:id="rId573"/>
    <hyperlink ref="D747" r:id="rId574"/>
    <hyperlink ref="D758" r:id="rId575"/>
    <hyperlink ref="D772" r:id="rId576"/>
    <hyperlink ref="D787" r:id="rId577"/>
    <hyperlink ref="D766" r:id="rId578"/>
    <hyperlink ref="D764" r:id="rId579"/>
    <hyperlink ref="D567" r:id="rId580" display="Karet (GBG Hamn) "/>
    <hyperlink ref="D548" r:id="rId581"/>
    <hyperlink ref="D531" r:id="rId582" display="Kalix-Karlsborg "/>
    <hyperlink ref="D545" r:id="rId583"/>
    <hyperlink ref="D553" r:id="rId584" display="Kalmar "/>
    <hyperlink ref="D486" r:id="rId585"/>
    <hyperlink ref="D385" r:id="rId586"/>
    <hyperlink ref="D407" r:id="rId587"/>
    <hyperlink ref="D431" r:id="rId588"/>
    <hyperlink ref="D325" r:id="rId589" display="Tingstad"/>
    <hyperlink ref="D307" r:id="rId590" display="Hisingsbron GBG Hamn"/>
    <hyperlink ref="D299" r:id="rId591" display="Eriksberg (GBG Stad)"/>
    <hyperlink ref="D294" r:id="rId592" display="Agnesberg (GBG Stad)"/>
    <hyperlink ref="D289" r:id="rId593"/>
    <hyperlink ref="D279" r:id="rId594"/>
    <hyperlink ref="D270" r:id="rId595"/>
    <hyperlink ref="D260" r:id="rId596"/>
    <hyperlink ref="D249" r:id="rId597" display="Frihamnen (SH)"/>
    <hyperlink ref="D235" r:id="rId598"/>
    <hyperlink ref="D231" r:id="rId599"/>
    <hyperlink ref="D224" r:id="rId600"/>
    <hyperlink ref="D220" r:id="rId601"/>
    <hyperlink ref="D191" r:id="rId602" display="Falkenberg Vatten "/>
    <hyperlink ref="D164" r:id="rId603"/>
    <hyperlink ref="D148" r:id="rId604"/>
    <hyperlink ref="D116" r:id="rId605"/>
    <hyperlink ref="D112" r:id="rId606"/>
    <hyperlink ref="D97" r:id="rId607"/>
    <hyperlink ref="D121" r:id="rId608"/>
    <hyperlink ref="D373" r:id="rId609"/>
    <hyperlink ref="D348" r:id="rId610"/>
    <hyperlink ref="D1359" r:id="rId611"/>
    <hyperlink ref="D1203" r:id="rId612"/>
    <hyperlink ref="D1347" r:id="rId613"/>
    <hyperlink ref="D1201" r:id="rId614"/>
    <hyperlink ref="D1181" r:id="rId615"/>
    <hyperlink ref="D1162" r:id="rId616"/>
    <hyperlink ref="D1092" r:id="rId617"/>
    <hyperlink ref="D957" r:id="rId618"/>
    <hyperlink ref="D948" r:id="rId619"/>
    <hyperlink ref="D945" r:id="rId620"/>
    <hyperlink ref="D883" r:id="rId621"/>
    <hyperlink ref="D871" r:id="rId622"/>
    <hyperlink ref="D846" r:id="rId623"/>
    <hyperlink ref="D818" r:id="rId624"/>
    <hyperlink ref="D803" r:id="rId625"/>
    <hyperlink ref="D784" r:id="rId626"/>
    <hyperlink ref="D735" r:id="rId627"/>
    <hyperlink ref="D991" r:id="rId628"/>
    <hyperlink ref="D731" r:id="rId629"/>
    <hyperlink ref="D855" r:id="rId630"/>
    <hyperlink ref="D676" r:id="rId631"/>
    <hyperlink ref="D594" r:id="rId632"/>
    <hyperlink ref="D513" r:id="rId633"/>
    <hyperlink ref="D488" r:id="rId634"/>
    <hyperlink ref="D480" r:id="rId635"/>
    <hyperlink ref="D465" r:id="rId636"/>
    <hyperlink ref="D440" r:id="rId637"/>
    <hyperlink ref="D1066" r:id="rId638"/>
    <hyperlink ref="D419" r:id="rId639"/>
    <hyperlink ref="D376" r:id="rId640"/>
    <hyperlink ref="D251" r:id="rId641"/>
    <hyperlink ref="D28" r:id="rId642"/>
    <hyperlink ref="D1402" r:id="rId643"/>
    <hyperlink ref="D20" r:id="rId644"/>
    <hyperlink ref="D35" r:id="rId645"/>
    <hyperlink ref="D47" r:id="rId646"/>
    <hyperlink ref="D57" r:id="rId647"/>
    <hyperlink ref="D123" r:id="rId648"/>
    <hyperlink ref="D607" r:id="rId649"/>
    <hyperlink ref="D237" r:id="rId650"/>
    <hyperlink ref="D281" r:id="rId651"/>
    <hyperlink ref="D309" r:id="rId652"/>
    <hyperlink ref="D1304" r:id="rId653"/>
    <hyperlink ref="D1293" r:id="rId654"/>
    <hyperlink ref="D1231" r:id="rId655"/>
    <hyperlink ref="D897" r:id="rId656"/>
    <hyperlink ref="D1062" r:id="rId657"/>
    <hyperlink ref="D669" r:id="rId658"/>
    <hyperlink ref="D624" r:id="rId659"/>
    <hyperlink ref="D475" r:id="rId660"/>
    <hyperlink ref="D395" r:id="rId661"/>
    <hyperlink ref="D363" r:id="rId662"/>
    <hyperlink ref="D334" r:id="rId663"/>
    <hyperlink ref="D200" r:id="rId664"/>
    <hyperlink ref="D106" r:id="rId665"/>
    <hyperlink ref="D88" r:id="rId666"/>
    <hyperlink ref="D930" r:id="rId667"/>
    <hyperlink ref="D997" r:id="rId668"/>
    <hyperlink ref="D1286" r:id="rId669"/>
    <hyperlink ref="D1145" r:id="rId670"/>
    <hyperlink ref="D1146" r:id="rId671"/>
    <hyperlink ref="D1147" r:id="rId672"/>
    <hyperlink ref="D1144" r:id="rId673"/>
    <hyperlink ref="D1143" r:id="rId674"/>
    <hyperlink ref="D1142" r:id="rId675"/>
    <hyperlink ref="D1141" r:id="rId676"/>
    <hyperlink ref="D1138" r:id="rId677"/>
    <hyperlink ref="D1137" r:id="rId678"/>
    <hyperlink ref="D1135" r:id="rId679"/>
    <hyperlink ref="D1134" r:id="rId680"/>
    <hyperlink ref="D1133" r:id="rId681"/>
    <hyperlink ref="D1132" r:id="rId682"/>
    <hyperlink ref="D1131" r:id="rId683"/>
    <hyperlink ref="D1136" r:id="rId684"/>
    <hyperlink ref="D1130" r:id="rId685" display="Stena Scandica"/>
    <hyperlink ref="D1129" r:id="rId686"/>
    <hyperlink ref="D1128" r:id="rId687"/>
    <hyperlink ref="D1127" r:id="rId688"/>
    <hyperlink ref="D1126" r:id="rId689"/>
    <hyperlink ref="D1139" r:id="rId690"/>
    <hyperlink ref="D1125" r:id="rId691"/>
    <hyperlink ref="D1124" r:id="rId692"/>
    <hyperlink ref="D1123" r:id="rId693"/>
    <hyperlink ref="D1122" r:id="rId694"/>
    <hyperlink ref="D1121" r:id="rId695"/>
    <hyperlink ref="D1120" r:id="rId696"/>
    <hyperlink ref="D1140" r:id="rId697"/>
    <hyperlink ref="D1263" r:id="rId698"/>
    <hyperlink ref="D266" r:id="rId699"/>
    <hyperlink ref="D998" r:id="rId700"/>
    <hyperlink ref="D1317" r:id="rId701"/>
    <hyperlink ref="D1037" r:id="rId702"/>
    <hyperlink ref="D316" r:id="rId703"/>
    <hyperlink ref="D547" r:id="rId704"/>
    <hyperlink ref="D555" r:id="rId705"/>
    <hyperlink ref="D27" r:id="rId706"/>
    <hyperlink ref="D246" r:id="rId707"/>
    <hyperlink ref="D863" r:id="rId708"/>
    <hyperlink ref="D56" r:id="rId709"/>
    <hyperlink ref="D71" r:id="rId710"/>
    <hyperlink ref="D24" r:id="rId711"/>
    <hyperlink ref="D1342" r:id="rId712"/>
    <hyperlink ref="D1334" r:id="rId713"/>
    <hyperlink ref="D1309" r:id="rId714"/>
    <hyperlink ref="D926" r:id="rId715"/>
    <hyperlink ref="D1330" r:id="rId716"/>
    <hyperlink ref="D1323" r:id="rId717"/>
    <hyperlink ref="D1279" r:id="rId718"/>
    <hyperlink ref="D1249" r:id="rId719"/>
    <hyperlink ref="D1243" r:id="rId720"/>
    <hyperlink ref="D1252" r:id="rId721"/>
    <hyperlink ref="D327" r:id="rId722"/>
    <hyperlink ref="D1267" r:id="rId723"/>
    <hyperlink ref="D1099" r:id="rId724"/>
    <hyperlink ref="D1218" r:id="rId725"/>
    <hyperlink ref="D1208" r:id="rId726"/>
    <hyperlink ref="D1185" r:id="rId727"/>
    <hyperlink ref="D1194" r:id="rId728"/>
    <hyperlink ref="D1189" r:id="rId729"/>
    <hyperlink ref="D1171" r:id="rId730"/>
    <hyperlink ref="D1166" r:id="rId731"/>
    <hyperlink ref="D1154" r:id="rId732"/>
    <hyperlink ref="D1158" r:id="rId733"/>
    <hyperlink ref="D1117" r:id="rId734"/>
    <hyperlink ref="D1105" r:id="rId735"/>
    <hyperlink ref="D1085" r:id="rId736"/>
    <hyperlink ref="D1079" r:id="rId737"/>
    <hyperlink ref="D1073" r:id="rId738"/>
    <hyperlink ref="D1070" r:id="rId739"/>
    <hyperlink ref="D1058" r:id="rId740"/>
    <hyperlink ref="D1053" r:id="rId741"/>
    <hyperlink ref="D1044" r:id="rId742"/>
    <hyperlink ref="D1035" r:id="rId743"/>
    <hyperlink ref="D1030" r:id="rId744"/>
    <hyperlink ref="D1025" r:id="rId745"/>
    <hyperlink ref="D1002" r:id="rId746"/>
    <hyperlink ref="D980" r:id="rId747"/>
    <hyperlink ref="D975" r:id="rId748"/>
    <hyperlink ref="D971" r:id="rId749"/>
    <hyperlink ref="D966" r:id="rId750"/>
    <hyperlink ref="D962" r:id="rId751"/>
    <hyperlink ref="D939" r:id="rId752"/>
    <hyperlink ref="D909" r:id="rId753"/>
    <hyperlink ref="D912" r:id="rId754"/>
    <hyperlink ref="D889" r:id="rId755"/>
    <hyperlink ref="D864" r:id="rId756"/>
    <hyperlink ref="D860" r:id="rId757"/>
    <hyperlink ref="D850" r:id="rId758"/>
    <hyperlink ref="D836" r:id="rId759"/>
    <hyperlink ref="D830" r:id="rId760"/>
    <hyperlink ref="D824" r:id="rId761"/>
    <hyperlink ref="D789" r:id="rId762"/>
    <hyperlink ref="D749" r:id="rId763"/>
    <hyperlink ref="D795" r:id="rId764"/>
    <hyperlink ref="D774" r:id="rId765"/>
    <hyperlink ref="D760" r:id="rId766"/>
    <hyperlink ref="D716" r:id="rId767"/>
    <hyperlink ref="D708" r:id="rId768"/>
    <hyperlink ref="D704" r:id="rId769"/>
    <hyperlink ref="D697" r:id="rId770"/>
    <hyperlink ref="D693" r:id="rId771"/>
    <hyperlink ref="D689" r:id="rId772"/>
    <hyperlink ref="D680" r:id="rId773"/>
    <hyperlink ref="D652" r:id="rId774"/>
    <hyperlink ref="D603" r:id="rId775"/>
    <hyperlink ref="D561" r:id="rId776"/>
    <hyperlink ref="D640" r:id="rId777"/>
    <hyperlink ref="D637" r:id="rId778"/>
    <hyperlink ref="D632" r:id="rId779"/>
    <hyperlink ref="D598" r:id="rId780"/>
    <hyperlink ref="D577" r:id="rId781"/>
    <hyperlink ref="D569" r:id="rId782"/>
    <hyperlink ref="D565" r:id="rId783"/>
    <hyperlink ref="D538" r:id="rId784"/>
    <hyperlink ref="D533" r:id="rId785"/>
    <hyperlink ref="D523" r:id="rId786"/>
    <hyperlink ref="D517" r:id="rId787"/>
    <hyperlink ref="D425" r:id="rId788"/>
    <hyperlink ref="D493" r:id="rId789"/>
    <hyperlink ref="D456" r:id="rId790"/>
    <hyperlink ref="D448" r:id="rId791"/>
    <hyperlink ref="D444" r:id="rId792"/>
    <hyperlink ref="D433" r:id="rId793"/>
    <hyperlink ref="D409" r:id="rId794"/>
    <hyperlink ref="D387" r:id="rId795"/>
    <hyperlink ref="D375" r:id="rId796"/>
    <hyperlink ref="D291" r:id="rId797"/>
    <hyperlink ref="D272" r:id="rId798"/>
    <hyperlink ref="D350" r:id="rId799"/>
    <hyperlink ref="D256" r:id="rId800"/>
    <hyperlink ref="D262" r:id="rId801"/>
    <hyperlink ref="D247" r:id="rId802"/>
    <hyperlink ref="D243" r:id="rId803"/>
    <hyperlink ref="D233" r:id="rId804"/>
    <hyperlink ref="D226" r:id="rId805"/>
    <hyperlink ref="D222" r:id="rId806"/>
    <hyperlink ref="D214" r:id="rId807"/>
    <hyperlink ref="D194" r:id="rId808"/>
    <hyperlink ref="D193" r:id="rId809"/>
    <hyperlink ref="D301" r:id="rId810"/>
    <hyperlink ref="D175" r:id="rId811"/>
    <hyperlink ref="D166" r:id="rId812"/>
    <hyperlink ref="D150" r:id="rId813"/>
    <hyperlink ref="D99" r:id="rId814"/>
    <hyperlink ref="D128" r:id="rId815"/>
    <hyperlink ref="D118" r:id="rId816"/>
    <hyperlink ref="D114" r:id="rId817"/>
    <hyperlink ref="D110" r:id="rId818"/>
    <hyperlink ref="D92" r:id="rId819"/>
    <hyperlink ref="D296" r:id="rId820"/>
    <hyperlink ref="D1364" r:id="rId821"/>
    <hyperlink ref="D1371" r:id="rId822"/>
    <hyperlink ref="D1378" r:id="rId823"/>
    <hyperlink ref="D1394" r:id="rId824"/>
    <hyperlink ref="D1393" r:id="rId825"/>
    <hyperlink ref="D1390" r:id="rId826"/>
    <hyperlink ref="D1392" r:id="rId827"/>
    <hyperlink ref="D1369" r:id="rId828" display="Vinga "/>
    <hyperlink ref="D1376" r:id="rId829"/>
    <hyperlink ref="D1382" r:id="rId830" display="Visby "/>
    <hyperlink ref="D1384" r:id="rId831" display="Visby "/>
    <hyperlink ref="D349" r:id="rId832"/>
  </hyperlinks>
  <pageMargins left="0.7" right="0.7" top="0.75" bottom="0.75" header="0.3" footer="0.3"/>
  <pageSetup paperSize="9" orientation="landscape" r:id="rId833"/>
  <ignoredErrors>
    <ignoredError sqref="B189:B193 B478:B514 B729:B843 B1193:B1270 B1345:B1401 B561:B615 B270:B316 B853:B917 B617:B714 B531:B558 B164:B187 B521:B530 B97:B120 B924:B1192 B195:B269 B319:B477 B716:B728 B121:B163 B17:B96 B845:B852 B919:B923 B516:B520 B1272:B1344" numberStoredAsText="1"/>
  </ignoredErrors>
  <drawing r:id="rId834"/>
  <legacyDrawing r:id="rId8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F16" sqref="F16"/>
    </sheetView>
  </sheetViews>
  <sheetFormatPr defaultRowHeight="15" x14ac:dyDescent="0.25"/>
  <cols>
    <col min="2" max="2" width="27" customWidth="1"/>
    <col min="3" max="3" width="65.5703125" bestFit="1" customWidth="1"/>
  </cols>
  <sheetData>
    <row r="1" spans="1:3" x14ac:dyDescent="0.25">
      <c r="A1" s="1" t="s">
        <v>147</v>
      </c>
      <c r="B1" s="1" t="s">
        <v>957</v>
      </c>
      <c r="C1" s="8" t="s">
        <v>146</v>
      </c>
    </row>
    <row r="2" spans="1:3" x14ac:dyDescent="0.25">
      <c r="A2" s="2" t="s">
        <v>124</v>
      </c>
      <c r="B2" s="2" t="s">
        <v>178</v>
      </c>
      <c r="C2" t="s">
        <v>2323</v>
      </c>
    </row>
    <row r="3" spans="1:3" x14ac:dyDescent="0.25">
      <c r="A3" s="2" t="s">
        <v>936</v>
      </c>
      <c r="B3" s="2" t="s">
        <v>937</v>
      </c>
      <c r="C3" t="s">
        <v>2036</v>
      </c>
    </row>
    <row r="4" spans="1:3" x14ac:dyDescent="0.25">
      <c r="A4" s="2" t="s">
        <v>5</v>
      </c>
      <c r="B4" s="2" t="s">
        <v>179</v>
      </c>
      <c r="C4" t="s">
        <v>2677</v>
      </c>
    </row>
    <row r="5" spans="1:3" x14ac:dyDescent="0.25">
      <c r="A5" s="2" t="s">
        <v>951</v>
      </c>
      <c r="B5" s="2" t="s">
        <v>956</v>
      </c>
      <c r="C5" t="s">
        <v>2322</v>
      </c>
    </row>
    <row r="6" spans="1:3" x14ac:dyDescent="0.25">
      <c r="A6" s="2" t="s">
        <v>2455</v>
      </c>
      <c r="B6" s="2" t="s">
        <v>2456</v>
      </c>
      <c r="C6" t="s">
        <v>2027</v>
      </c>
    </row>
    <row r="7" spans="1:3" x14ac:dyDescent="0.25">
      <c r="A7" s="2" t="s">
        <v>6</v>
      </c>
      <c r="B7" s="2" t="s">
        <v>180</v>
      </c>
      <c r="C7" t="s">
        <v>2031</v>
      </c>
    </row>
    <row r="8" spans="1:3" x14ac:dyDescent="0.25">
      <c r="A8" s="2"/>
      <c r="B8" s="2"/>
    </row>
    <row r="9" spans="1:3" x14ac:dyDescent="0.25">
      <c r="A9" s="1" t="s">
        <v>146</v>
      </c>
      <c r="B9" s="2"/>
    </row>
    <row r="10" spans="1:3" x14ac:dyDescent="0.25">
      <c r="A10" s="2" t="s">
        <v>2030</v>
      </c>
      <c r="B10" s="2" t="s">
        <v>161</v>
      </c>
    </row>
    <row r="11" spans="1:3" x14ac:dyDescent="0.25">
      <c r="A11" s="2" t="s">
        <v>2027</v>
      </c>
      <c r="B11" s="2" t="s">
        <v>162</v>
      </c>
    </row>
    <row r="12" spans="1:3" x14ac:dyDescent="0.25">
      <c r="A12" s="2" t="s">
        <v>2035</v>
      </c>
      <c r="B12" s="2" t="s">
        <v>163</v>
      </c>
    </row>
    <row r="13" spans="1:3" x14ac:dyDescent="0.25">
      <c r="A13" s="2" t="s">
        <v>2034</v>
      </c>
      <c r="B13" s="2" t="s">
        <v>181</v>
      </c>
    </row>
    <row r="14" spans="1:3" x14ac:dyDescent="0.25">
      <c r="A14" s="14" t="s">
        <v>2461</v>
      </c>
      <c r="B14" s="14" t="s">
        <v>2465</v>
      </c>
    </row>
    <row r="15" spans="1:3" x14ac:dyDescent="0.25">
      <c r="A15" s="14" t="s">
        <v>2025</v>
      </c>
      <c r="B15" s="14" t="s">
        <v>2026</v>
      </c>
    </row>
    <row r="16" spans="1:3" x14ac:dyDescent="0.25">
      <c r="A16" s="14" t="s">
        <v>2029</v>
      </c>
      <c r="B16" s="14" t="s">
        <v>2466</v>
      </c>
    </row>
    <row r="17" spans="1:2" x14ac:dyDescent="0.25">
      <c r="A17" s="14" t="s">
        <v>2463</v>
      </c>
      <c r="B17" s="14" t="s">
        <v>2024</v>
      </c>
    </row>
    <row r="18" spans="1:2" x14ac:dyDescent="0.25">
      <c r="A18" s="2" t="s">
        <v>2045</v>
      </c>
      <c r="B18" s="2" t="s">
        <v>167</v>
      </c>
    </row>
    <row r="19" spans="1:2" x14ac:dyDescent="0.25">
      <c r="A19" s="2" t="s">
        <v>2044</v>
      </c>
      <c r="B19" s="2" t="s">
        <v>2742</v>
      </c>
    </row>
    <row r="20" spans="1:2" x14ac:dyDescent="0.25">
      <c r="A20" s="2" t="s">
        <v>2036</v>
      </c>
      <c r="B20" s="2" t="s">
        <v>182</v>
      </c>
    </row>
    <row r="21" spans="1:2" x14ac:dyDescent="0.25">
      <c r="A21" s="2" t="s">
        <v>2043</v>
      </c>
      <c r="B21" s="2" t="s">
        <v>164</v>
      </c>
    </row>
    <row r="22" spans="1:2" x14ac:dyDescent="0.25">
      <c r="A22" s="2" t="s">
        <v>2028</v>
      </c>
      <c r="B22" s="2" t="s">
        <v>165</v>
      </c>
    </row>
    <row r="23" spans="1:2" x14ac:dyDescent="0.25">
      <c r="A23" s="2" t="s">
        <v>174</v>
      </c>
      <c r="B23" s="2" t="s">
        <v>955</v>
      </c>
    </row>
    <row r="24" spans="1:2" x14ac:dyDescent="0.25">
      <c r="A24" s="2" t="s">
        <v>175</v>
      </c>
      <c r="B24" s="2" t="s">
        <v>176</v>
      </c>
    </row>
    <row r="25" spans="1:2" x14ac:dyDescent="0.25">
      <c r="A25" s="2" t="s">
        <v>2041</v>
      </c>
      <c r="B25" s="2" t="s">
        <v>166</v>
      </c>
    </row>
    <row r="26" spans="1:2" x14ac:dyDescent="0.25">
      <c r="A26" s="2" t="s">
        <v>2673</v>
      </c>
      <c r="B26" s="2" t="s">
        <v>2674</v>
      </c>
    </row>
    <row r="27" spans="1:2" x14ac:dyDescent="0.25">
      <c r="A27" s="2" t="s">
        <v>2675</v>
      </c>
      <c r="B27" s="2" t="s">
        <v>2676</v>
      </c>
    </row>
    <row r="28" spans="1:2" x14ac:dyDescent="0.25">
      <c r="A28" s="2"/>
      <c r="B28" s="2"/>
    </row>
    <row r="29" spans="1:2" x14ac:dyDescent="0.25">
      <c r="A29" s="1" t="s">
        <v>177</v>
      </c>
      <c r="B29" s="2"/>
    </row>
    <row r="30" spans="1:2" x14ac:dyDescent="0.25">
      <c r="A30" s="2">
        <v>1</v>
      </c>
      <c r="B30" s="2" t="s">
        <v>2068</v>
      </c>
    </row>
    <row r="31" spans="1:2" x14ac:dyDescent="0.25">
      <c r="A31" s="2">
        <v>2</v>
      </c>
      <c r="B31" s="2" t="s">
        <v>2069</v>
      </c>
    </row>
    <row r="32" spans="1:2" x14ac:dyDescent="0.25">
      <c r="A32" s="2">
        <v>3</v>
      </c>
      <c r="B32" s="2" t="s">
        <v>2070</v>
      </c>
    </row>
    <row r="33" spans="1:2" x14ac:dyDescent="0.25">
      <c r="A33" s="2">
        <v>4</v>
      </c>
      <c r="B33" s="2" t="s">
        <v>2071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STATIONSLISTA</vt:lpstr>
      <vt:lpstr>FÖRKLARING</vt:lpstr>
    </vt:vector>
  </TitlesOfParts>
  <Company>Sjöfartsverket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Hammarklint, Thomas</dc:creator>
  <cp:lastModifiedBy>Hammarklint, Thomas</cp:lastModifiedBy>
  <cp:lastPrinted>2024-03-19T04:35:35Z</cp:lastPrinted>
  <dcterms:created xsi:type="dcterms:W3CDTF">2021-05-10T20:52:54Z</dcterms:created>
  <dcterms:modified xsi:type="dcterms:W3CDTF">2025-03-14T13:47:50Z</dcterms:modified>
</cp:coreProperties>
</file>